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filterPrivacy="1" defaultThemeVersion="124226"/>
  <bookViews>
    <workbookView xWindow="-120" yWindow="-120" windowWidth="24240" windowHeight="13740" tabRatio="962" firstSheet="2" activeTab="2"/>
  </bookViews>
  <sheets>
    <sheet name="naslovnica" sheetId="94" r:id="rId1"/>
    <sheet name="0.b Opći uvjeti" sheetId="55" r:id="rId2"/>
    <sheet name="0.b Opći uvjeti GO" sheetId="91" r:id="rId3"/>
    <sheet name="1 Pripremni radovi" sheetId="57" r:id="rId4"/>
    <sheet name="2 Rušenja i demontaže" sheetId="58" r:id="rId5"/>
    <sheet name="3 Zemljani" sheetId="59" r:id="rId6"/>
    <sheet name="4 AB radovi" sheetId="89" r:id="rId7"/>
    <sheet name="5 Armirački" sheetId="61" r:id="rId8"/>
    <sheet name="6 Čelične konstrukcije" sheetId="63" r:id="rId9"/>
    <sheet name="7 Zidarski" sheetId="64" r:id="rId10"/>
    <sheet name="8 Tesarski" sheetId="65" r:id="rId11"/>
    <sheet name="9 Bravarski" sheetId="71" r:id="rId12"/>
    <sheet name="10 Stolarski" sheetId="85" r:id="rId13"/>
    <sheet name="11 Izolaterski" sheetId="67" r:id="rId14"/>
    <sheet name="12 Krovopokrivački" sheetId="68" r:id="rId15"/>
    <sheet name="13 Fasaderski" sheetId="69" r:id="rId16"/>
    <sheet name="14 Suhomontažni" sheetId="72" r:id="rId17"/>
    <sheet name="15 Parketarski" sheetId="73" r:id="rId18"/>
    <sheet name="16 Podopolagački" sheetId="88" r:id="rId19"/>
    <sheet name="17 Kamenarski" sheetId="75" r:id="rId20"/>
    <sheet name="18 Keramičarski" sheetId="76" r:id="rId21"/>
    <sheet name="19 Soboslikarski" sheetId="86" r:id="rId22"/>
    <sheet name="20 Limarski" sheetId="77" r:id="rId23"/>
    <sheet name="21 Okoliš" sheetId="78" r:id="rId24"/>
    <sheet name="22 Razni" sheetId="79" r:id="rId25"/>
    <sheet name="23 Elektro" sheetId="90" r:id="rId26"/>
    <sheet name="24 Vatrodojava" sheetId="48" r:id="rId27"/>
    <sheet name="25 GHV" sheetId="51" r:id="rId28"/>
    <sheet name="26 VIK" sheetId="49" r:id="rId29"/>
    <sheet name="REKAPITULACIJA" sheetId="87" r:id="rId30"/>
  </sheets>
  <externalReferences>
    <externalReference r:id="rId31"/>
    <externalReference r:id="rId32"/>
  </externalReferences>
  <definedNames>
    <definedName name="_xlnm._FilterDatabase" localSheetId="27" hidden="1">'25 GHV'!$D$375:$D$941</definedName>
    <definedName name="Kolnik_16.3.">'[1]16. Prometnice'!$G$277</definedName>
    <definedName name="Odvod_16.4.">'[1]16. Prometnice'!$G$329</definedName>
    <definedName name="OLE_LINK2" localSheetId="26">'24 Vatrodojava'!#REF!</definedName>
    <definedName name="_xlnm.Print_Area" localSheetId="1">'0.b Opći uvjeti'!$A$1:$F$57</definedName>
    <definedName name="_xlnm.Print_Area" localSheetId="2">'0.b Opći uvjeti GO'!$A$1:$F$7</definedName>
    <definedName name="_xlnm.Print_Area" localSheetId="3">'1 Pripremni radovi'!$A$1:$F$140</definedName>
    <definedName name="_xlnm.Print_Area" localSheetId="12">'10 Stolarski'!$A$1:$F$206</definedName>
    <definedName name="_xlnm.Print_Area" localSheetId="13">'11 Izolaterski'!$A$1:$F$214</definedName>
    <definedName name="_xlnm.Print_Area" localSheetId="14">'12 Krovopokrivački'!$A$1:$F$54</definedName>
    <definedName name="_xlnm.Print_Area" localSheetId="15">'13 Fasaderski'!$A$1:$F$143</definedName>
    <definedName name="_xlnm.Print_Area" localSheetId="17">'15 Parketarski'!$A$1:$F$23</definedName>
    <definedName name="_xlnm.Print_Area" localSheetId="19">'17 Kamenarski'!$A$1:$F$110</definedName>
    <definedName name="_xlnm.Print_Area" localSheetId="20">'18 Keramičarski'!$A$1:$F$43</definedName>
    <definedName name="_xlnm.Print_Area" localSheetId="21">'19 Soboslikarski'!$A$1:$F$58</definedName>
    <definedName name="_xlnm.Print_Area" localSheetId="4">'2 Rušenja i demontaže'!$A$1:$F$226</definedName>
    <definedName name="_xlnm.Print_Area" localSheetId="22">'20 Limarski'!$A$1:$F$97</definedName>
    <definedName name="_xlnm.Print_Area" localSheetId="23">'21 Okoliš'!$A$1:$F$102</definedName>
    <definedName name="_xlnm.Print_Area" localSheetId="24">'22 Razni'!$A$1:$F$60</definedName>
    <definedName name="_xlnm.Print_Area" localSheetId="25">'23 Elektro'!$A$1:$F$1203</definedName>
    <definedName name="_xlnm.Print_Area" localSheetId="26">'24 Vatrodojava'!$A$1:$F$270</definedName>
    <definedName name="_xlnm.Print_Area" localSheetId="5">'3 Zemljani'!$A$1:$F$100</definedName>
    <definedName name="_xlnm.Print_Area" localSheetId="6">'4 AB radovi'!$A$1:$F$182</definedName>
    <definedName name="_xlnm.Print_Area" localSheetId="7">'5 Armirački'!$A$1:$F$14</definedName>
    <definedName name="_xlnm.Print_Area" localSheetId="8">'6 Čelične konstrukcije'!$A$1:$F$73</definedName>
    <definedName name="_xlnm.Print_Area" localSheetId="9">'7 Zidarski'!$A$1:$F$145</definedName>
    <definedName name="_xlnm.Print_Area" localSheetId="10">'8 Tesarski'!$A$1:$F$41</definedName>
    <definedName name="_xlnm.Print_Area" localSheetId="11">'9 Bravarski'!$A$1:$F$222</definedName>
    <definedName name="_xlnm.Print_Area" localSheetId="0">naslovnica!$A$1:$F$50</definedName>
    <definedName name="_xlnm.Print_Area" localSheetId="29">REKAPITULACIJA!$A$1:$F$50</definedName>
    <definedName name="_xlnm.Print_Titles" localSheetId="3">'1 Pripremni radovi'!$1:$2</definedName>
    <definedName name="_xlnm.Print_Titles" localSheetId="4">'2 Rušenja i demontaže'!$1:$2</definedName>
    <definedName name="_xlnm.Print_Titles" localSheetId="26">'24 Vatrodojava'!$2:$2</definedName>
    <definedName name="_xlnm.Print_Titles" localSheetId="28">'26 VIK'!#REF!</definedName>
    <definedName name="_xlnm.Print_Titles" localSheetId="5">'3 Zemljani'!$1:$2</definedName>
    <definedName name="Pripr_16.1.">'[1]16. Prometnice'!$G$66</definedName>
    <definedName name="Sign_16.5.">'[1]16. Prometnice'!$G$408</definedName>
    <definedName name="Zem_16.2.">'[1]16. Prometnice'!$G$130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0" i="75"/>
  <c r="A87"/>
  <c r="B937" i="51" l="1"/>
  <c r="B936"/>
  <c r="B935"/>
  <c r="B934"/>
  <c r="B933"/>
  <c r="B932"/>
  <c r="B931"/>
  <c r="B930"/>
  <c r="B929"/>
  <c r="B928"/>
  <c r="B927"/>
  <c r="B926"/>
  <c r="A912" l="1"/>
  <c r="A914" s="1"/>
  <c r="A917" s="1"/>
  <c r="A899"/>
  <c r="A901" s="1"/>
  <c r="A903" s="1"/>
  <c r="A905" s="1"/>
  <c r="A907" s="1"/>
  <c r="A891"/>
  <c r="A893" s="1"/>
  <c r="A849"/>
  <c r="A851" s="1"/>
  <c r="A843"/>
  <c r="A834"/>
  <c r="A836" s="1"/>
  <c r="A839" s="1"/>
  <c r="A828"/>
  <c r="A806"/>
  <c r="A810" s="1"/>
  <c r="A814" s="1"/>
  <c r="A627"/>
  <c r="A629" s="1"/>
  <c r="A575"/>
  <c r="A364"/>
  <c r="A366" s="1"/>
  <c r="A368" s="1"/>
  <c r="A370" s="1"/>
  <c r="A353"/>
  <c r="A355" s="1"/>
  <c r="D333"/>
  <c r="D332"/>
  <c r="A331"/>
  <c r="A337" s="1"/>
  <c r="A339" s="1"/>
  <c r="A295"/>
  <c r="A283"/>
  <c r="A270"/>
  <c r="A273" s="1"/>
  <c r="A275" s="1"/>
  <c r="A277" s="1"/>
  <c r="A279" s="1"/>
  <c r="A257"/>
  <c r="A193"/>
  <c r="A180"/>
  <c r="A183" s="1"/>
  <c r="A167"/>
  <c r="A169" s="1"/>
  <c r="A171" s="1"/>
  <c r="A148"/>
  <c r="A151" s="1"/>
  <c r="A130"/>
  <c r="A132" s="1"/>
  <c r="A134" s="1"/>
  <c r="A136" s="1"/>
  <c r="A138" s="1"/>
  <c r="A113"/>
  <c r="A107"/>
  <c r="A73"/>
  <c r="A76" s="1"/>
  <c r="A79" s="1"/>
  <c r="A82" s="1"/>
  <c r="A85" s="1"/>
  <c r="A87" s="1"/>
  <c r="A89" s="1"/>
  <c r="A91" s="1"/>
  <c r="A93" s="1"/>
  <c r="A95" s="1"/>
  <c r="A41"/>
  <c r="A43" s="1"/>
  <c r="A45" s="1"/>
  <c r="A47" s="1"/>
  <c r="A49" s="1"/>
  <c r="A51" s="1"/>
  <c r="A33"/>
  <c r="F39" i="87" l="1"/>
  <c r="A542" i="49"/>
  <c r="A540"/>
  <c r="A538"/>
  <c r="A537"/>
  <c r="A536"/>
  <c r="A535"/>
  <c r="A533"/>
  <c r="A532"/>
  <c r="A531"/>
  <c r="A530"/>
  <c r="A528"/>
  <c r="B528"/>
  <c r="A527"/>
  <c r="A526"/>
  <c r="A525"/>
  <c r="A524"/>
  <c r="A523"/>
  <c r="A522"/>
  <c r="A521"/>
  <c r="A519"/>
  <c r="B542"/>
  <c r="B540"/>
  <c r="B538"/>
  <c r="B537"/>
  <c r="B536"/>
  <c r="B535"/>
  <c r="B533"/>
  <c r="B532"/>
  <c r="B531"/>
  <c r="B530"/>
  <c r="B527"/>
  <c r="B526"/>
  <c r="B525"/>
  <c r="B524"/>
  <c r="B523"/>
  <c r="B522"/>
  <c r="B521"/>
  <c r="B519"/>
  <c r="D256"/>
  <c r="B1200" i="90" l="1"/>
  <c r="A1200"/>
  <c r="B1199"/>
  <c r="A1199"/>
  <c r="B1198"/>
  <c r="A1198"/>
  <c r="B1197"/>
  <c r="A1197"/>
  <c r="B1196"/>
  <c r="A1196"/>
  <c r="B1195"/>
  <c r="A1195"/>
  <c r="B1194"/>
  <c r="A1194"/>
  <c r="B1193"/>
  <c r="A1193"/>
  <c r="B1192"/>
  <c r="A1192"/>
  <c r="B1191"/>
  <c r="A1191"/>
  <c r="B1190"/>
  <c r="A1190"/>
  <c r="D1145"/>
  <c r="D1127"/>
  <c r="D1075"/>
  <c r="D1074"/>
  <c r="D1073"/>
  <c r="D702"/>
  <c r="D633"/>
  <c r="D632"/>
  <c r="D621"/>
  <c r="D620"/>
  <c r="D558"/>
  <c r="D557"/>
  <c r="D556"/>
  <c r="D474"/>
  <c r="D472"/>
  <c r="D470"/>
  <c r="D461"/>
  <c r="D459"/>
  <c r="D1144" l="1"/>
  <c r="A96" i="78" l="1"/>
  <c r="A93"/>
  <c r="D57"/>
  <c r="A12"/>
  <c r="A18" l="1"/>
  <c r="A22" l="1"/>
  <c r="A20"/>
  <c r="A31" l="1"/>
  <c r="A25"/>
  <c r="A34" l="1"/>
  <c r="A28"/>
  <c r="A40" l="1"/>
  <c r="A43"/>
  <c r="A37"/>
  <c r="A52" l="1"/>
  <c r="A46"/>
  <c r="A49"/>
  <c r="A55" l="1"/>
  <c r="A61" s="1"/>
  <c r="A66" s="1"/>
  <c r="D85" i="75" l="1"/>
  <c r="D84"/>
  <c r="A81"/>
  <c r="D32" i="67"/>
  <c r="D45" i="88"/>
  <c r="A210" i="72"/>
  <c r="D141" i="64" l="1"/>
  <c r="D188" i="85"/>
  <c r="D189"/>
  <c r="D30" i="63"/>
  <c r="D39"/>
  <c r="D170" i="89"/>
  <c r="D168"/>
  <c r="D169" s="1"/>
  <c r="D12" i="61"/>
  <c r="D97" i="89"/>
  <c r="D98"/>
  <c r="D99"/>
  <c r="D53"/>
  <c r="D119" i="69"/>
  <c r="D176" i="89"/>
  <c r="D175"/>
  <c r="D163"/>
  <c r="D135"/>
  <c r="D136"/>
  <c r="D143"/>
  <c r="D142"/>
  <c r="D129"/>
  <c r="D127"/>
  <c r="D121"/>
  <c r="D119"/>
  <c r="D120"/>
  <c r="D113"/>
  <c r="D112"/>
  <c r="D106"/>
  <c r="D105"/>
  <c r="D88"/>
  <c r="D89"/>
  <c r="D81"/>
  <c r="D80"/>
  <c r="D72"/>
  <c r="D71"/>
  <c r="D66"/>
  <c r="D60"/>
  <c r="D54"/>
  <c r="D59"/>
  <c r="D30" i="59"/>
  <c r="D73"/>
  <c r="D66"/>
  <c r="D65"/>
  <c r="D50"/>
  <c r="D31"/>
  <c r="D24"/>
  <c r="D90" i="89" l="1"/>
  <c r="A28" i="77"/>
  <c r="D61" i="63"/>
  <c r="A33" i="77" l="1"/>
  <c r="A38" s="1"/>
  <c r="D13" i="86"/>
  <c r="D14"/>
  <c r="D29"/>
  <c r="D28"/>
  <c r="D28" i="67"/>
  <c r="D24" s="1"/>
  <c r="D88" l="1"/>
  <c r="D87"/>
  <c r="D86"/>
  <c r="D146"/>
  <c r="D49" i="69"/>
  <c r="D41"/>
  <c r="D92" i="67"/>
  <c r="D68" i="75"/>
  <c r="D61"/>
  <c r="A57"/>
  <c r="A64" s="1"/>
  <c r="A70" l="1"/>
  <c r="A75" s="1"/>
  <c r="D18" i="69" l="1"/>
  <c r="D131" i="64"/>
  <c r="D133" i="69"/>
  <c r="D132"/>
  <c r="D152" i="67"/>
  <c r="D73"/>
  <c r="D169"/>
  <c r="D68" i="69"/>
  <c r="D129" i="67"/>
  <c r="D130"/>
  <c r="D118"/>
  <c r="D112"/>
  <c r="D111"/>
  <c r="D104"/>
  <c r="D99"/>
  <c r="D93"/>
  <c r="D76" l="1"/>
  <c r="D94"/>
  <c r="D74"/>
  <c r="D75"/>
  <c r="D64"/>
  <c r="D50"/>
  <c r="D40"/>
  <c r="D76" i="64"/>
  <c r="D75"/>
  <c r="D64"/>
  <c r="D60"/>
  <c r="D36"/>
  <c r="D37"/>
  <c r="D53" l="1"/>
  <c r="D52"/>
  <c r="D51"/>
  <c r="D50"/>
  <c r="D30"/>
  <c r="D29"/>
  <c r="D22"/>
  <c r="D21"/>
  <c r="D15" l="1"/>
  <c r="D44" i="68" l="1"/>
  <c r="D37"/>
  <c r="D28" l="1"/>
  <c r="D27"/>
  <c r="D26"/>
  <c r="D25"/>
  <c r="D39" i="76" l="1"/>
  <c r="D33" l="1"/>
  <c r="D26"/>
  <c r="D19"/>
  <c r="D96" i="69"/>
  <c r="D32" i="65" l="1"/>
  <c r="D18"/>
  <c r="D41" i="88" l="1"/>
  <c r="D20" i="73"/>
  <c r="D21" i="88"/>
  <c r="D20"/>
  <c r="D31"/>
  <c r="D30"/>
  <c r="D60"/>
  <c r="D12" i="73" l="1"/>
  <c r="D198" i="72"/>
  <c r="D197"/>
  <c r="D183"/>
  <c r="D182"/>
  <c r="D187"/>
  <c r="D151"/>
  <c r="D135"/>
  <c r="D74"/>
  <c r="D85"/>
  <c r="D31"/>
  <c r="D42"/>
  <c r="D53"/>
  <c r="D64"/>
  <c r="D178" i="85"/>
  <c r="D169"/>
  <c r="D179"/>
  <c r="D86" i="57"/>
  <c r="D85"/>
  <c r="D49" i="89" l="1"/>
  <c r="D40"/>
  <c r="D38"/>
  <c r="D179" l="1"/>
  <c r="D170" i="58"/>
  <c r="D164"/>
  <c r="D156"/>
  <c r="D150"/>
  <c r="D151"/>
  <c r="D137"/>
  <c r="D133"/>
  <c r="D132"/>
  <c r="D131"/>
  <c r="D122"/>
  <c r="D90"/>
  <c r="D91"/>
  <c r="D85"/>
  <c r="D84"/>
  <c r="D79"/>
  <c r="D102" l="1"/>
  <c r="F189" i="94"/>
  <c r="F146" i="91" l="1"/>
  <c r="A38" i="89" l="1"/>
  <c r="A8" i="88"/>
  <c r="A13" l="1"/>
  <c r="A23" s="1"/>
  <c r="F34" i="87"/>
  <c r="F24"/>
  <c r="F8"/>
  <c r="A40" i="89"/>
  <c r="A42" s="1"/>
  <c r="A9" i="86"/>
  <c r="A16" s="1"/>
  <c r="A21" s="1"/>
  <c r="A33" i="88" l="1"/>
  <c r="F18" i="87"/>
  <c r="F27"/>
  <c r="A32" i="86"/>
  <c r="A43" i="88" l="1"/>
  <c r="A48" s="1"/>
  <c r="A58" s="1"/>
  <c r="A51" i="89"/>
  <c r="A56" l="1"/>
  <c r="A37" i="86"/>
  <c r="A42" l="1"/>
  <c r="A63" i="89" l="1"/>
  <c r="A48" i="86"/>
  <c r="A69" i="89" l="1"/>
  <c r="A74" s="1"/>
  <c r="A83" s="1"/>
  <c r="A92" l="1"/>
  <c r="A101" s="1"/>
  <c r="A52" i="86"/>
  <c r="A108" i="89" l="1"/>
  <c r="A115" s="1"/>
  <c r="A123" s="1"/>
  <c r="A131" s="1"/>
  <c r="A41" i="85"/>
  <c r="F5" i="87"/>
  <c r="F30"/>
  <c r="A6" i="79"/>
  <c r="A14" i="76"/>
  <c r="A6" i="73"/>
  <c r="A22" i="72"/>
  <c r="F17" i="87"/>
  <c r="A74" i="71"/>
  <c r="A16" i="69"/>
  <c r="A16" i="68"/>
  <c r="A19" i="67"/>
  <c r="A15" i="65"/>
  <c r="A20" s="1"/>
  <c r="A13" i="64"/>
  <c r="A24" i="63"/>
  <c r="A20" i="59"/>
  <c r="D184" i="58"/>
  <c r="A14"/>
  <c r="A17" i="57"/>
  <c r="F196" i="55"/>
  <c r="A26" i="67" l="1"/>
  <c r="A30" i="68"/>
  <c r="A39" s="1"/>
  <c r="A138" i="89"/>
  <c r="A145" s="1"/>
  <c r="A151" s="1"/>
  <c r="A157" s="1"/>
  <c r="A165" s="1"/>
  <c r="A172" s="1"/>
  <c r="F21" i="87"/>
  <c r="A21" i="76"/>
  <c r="A20" i="69"/>
  <c r="A33" i="72"/>
  <c r="A44" s="1"/>
  <c r="A71" i="85"/>
  <c r="A46"/>
  <c r="A51" s="1"/>
  <c r="A56" s="1"/>
  <c r="A29" i="58"/>
  <c r="A45" s="1"/>
  <c r="F28" i="87"/>
  <c r="F23"/>
  <c r="F12"/>
  <c r="F9"/>
  <c r="F11"/>
  <c r="F29"/>
  <c r="F20"/>
  <c r="A11" i="79"/>
  <c r="F26" i="87"/>
  <c r="F25"/>
  <c r="A14" i="73"/>
  <c r="F22" i="87"/>
  <c r="A77" i="71"/>
  <c r="A17" i="64"/>
  <c r="A34" i="63"/>
  <c r="A26" i="59"/>
  <c r="F6" i="87"/>
  <c r="A22" i="57"/>
  <c r="A30" i="67" l="1"/>
  <c r="F10" i="87"/>
  <c r="A35" i="69"/>
  <c r="A28" i="76"/>
  <c r="A35" s="1"/>
  <c r="A55" i="72"/>
  <c r="A66" s="1"/>
  <c r="A16" i="79"/>
  <c r="A21" s="1"/>
  <c r="A61" i="85"/>
  <c r="A76" i="78"/>
  <c r="F7" i="87"/>
  <c r="A19" i="73"/>
  <c r="A46" i="68"/>
  <c r="F19" i="87"/>
  <c r="F31" s="1"/>
  <c r="A25" i="64"/>
  <c r="A46" i="77"/>
  <c r="A61" s="1"/>
  <c r="A80" i="71"/>
  <c r="A26" i="65"/>
  <c r="A33" i="59"/>
  <c r="A49" i="58"/>
  <c r="A28" i="57"/>
  <c r="F13" i="87" l="1"/>
  <c r="A34" i="67"/>
  <c r="A43" s="1"/>
  <c r="A32" i="64"/>
  <c r="A39" s="1"/>
  <c r="A43" i="69"/>
  <c r="A55" s="1"/>
  <c r="A71" s="1"/>
  <c r="A87" s="1"/>
  <c r="A98" s="1"/>
  <c r="A76" i="72"/>
  <c r="A66" i="85"/>
  <c r="A53" i="58"/>
  <c r="A35" i="57"/>
  <c r="A83" i="71"/>
  <c r="A50" i="68"/>
  <c r="A40" i="59"/>
  <c r="A25" i="79"/>
  <c r="A80" i="78"/>
  <c r="A85" s="1"/>
  <c r="A90" s="1"/>
  <c r="A55" i="77"/>
  <c r="A30" i="65"/>
  <c r="A40" i="57" l="1"/>
  <c r="A45" s="1"/>
  <c r="A106" i="69"/>
  <c r="A121" s="1"/>
  <c r="A87" i="72"/>
  <c r="A76" i="85"/>
  <c r="A81" s="1"/>
  <c r="A86" s="1"/>
  <c r="A91" s="1"/>
  <c r="A96" s="1"/>
  <c r="A101" s="1"/>
  <c r="A107" s="1"/>
  <c r="A126" s="1"/>
  <c r="A86" i="71"/>
  <c r="A47" i="59"/>
  <c r="A52" s="1"/>
  <c r="A38" i="79"/>
  <c r="A66" i="77"/>
  <c r="A70" s="1"/>
  <c r="A52" i="67"/>
  <c r="A43" i="64"/>
  <c r="A97" i="72" l="1"/>
  <c r="A107" s="1"/>
  <c r="A59" i="67"/>
  <c r="A90" s="1"/>
  <c r="A131" i="85"/>
  <c r="A138" s="1"/>
  <c r="A89" i="71"/>
  <c r="A92" s="1"/>
  <c r="A95" s="1"/>
  <c r="A98" s="1"/>
  <c r="A101" s="1"/>
  <c r="A104" s="1"/>
  <c r="A66" i="67"/>
  <c r="A56" i="57"/>
  <c r="A75" i="77" l="1"/>
  <c r="A83" s="1"/>
  <c r="A78" i="67"/>
  <c r="A96" s="1"/>
  <c r="A147" i="85"/>
  <c r="A151" s="1"/>
  <c r="A107" i="71"/>
  <c r="A110" s="1"/>
  <c r="A62" i="59"/>
  <c r="A70" s="1"/>
  <c r="A76" s="1"/>
  <c r="A87" s="1"/>
  <c r="A34" i="65"/>
  <c r="A55" i="64"/>
  <c r="A58" s="1"/>
  <c r="A62" s="1"/>
  <c r="A58" i="58"/>
  <c r="A61" i="57"/>
  <c r="A67" s="1"/>
  <c r="A101" i="67" l="1"/>
  <c r="A106" s="1"/>
  <c r="A157" i="85"/>
  <c r="A164" s="1"/>
  <c r="A185" s="1"/>
  <c r="A113" i="71"/>
  <c r="A116" s="1"/>
  <c r="A119" s="1"/>
  <c r="A122" s="1"/>
  <c r="A125" s="1"/>
  <c r="A128" s="1"/>
  <c r="A136" s="1"/>
  <c r="A139" s="1"/>
  <c r="A142" s="1"/>
  <c r="A145" s="1"/>
  <c r="A148" s="1"/>
  <c r="A151" s="1"/>
  <c r="A154" s="1"/>
  <c r="A157" s="1"/>
  <c r="A66" i="58"/>
  <c r="A41" i="79"/>
  <c r="A45" s="1"/>
  <c r="A53" s="1"/>
  <c r="A72" i="57"/>
  <c r="A114" i="67" l="1"/>
  <c r="A120" s="1"/>
  <c r="A170" i="71"/>
  <c r="A173" s="1"/>
  <c r="A42" i="63"/>
  <c r="A51" s="1"/>
  <c r="A76" i="57"/>
  <c r="A79" s="1"/>
  <c r="A132" i="67" l="1"/>
  <c r="A142" s="1"/>
  <c r="A148" s="1"/>
  <c r="A177" i="71"/>
  <c r="A180" s="1"/>
  <c r="A183" s="1"/>
  <c r="A82" i="57"/>
  <c r="A88" s="1"/>
  <c r="A93" s="1"/>
  <c r="A98" s="1"/>
  <c r="A57" i="63"/>
  <c r="A63" s="1"/>
  <c r="A76" i="58"/>
  <c r="A154" i="67" l="1"/>
  <c r="A186" i="71"/>
  <c r="A189" s="1"/>
  <c r="A106" i="57"/>
  <c r="A112" s="1"/>
  <c r="A116" s="1"/>
  <c r="A120" s="1"/>
  <c r="A125" s="1"/>
  <c r="A131" s="1"/>
  <c r="A81" i="58"/>
  <c r="A87" s="1"/>
  <c r="A160" i="67" l="1"/>
  <c r="A166" s="1"/>
  <c r="A96" i="58"/>
  <c r="A100" s="1"/>
  <c r="A104" s="1"/>
  <c r="A108" s="1"/>
  <c r="A66" i="64" l="1"/>
  <c r="A69" s="1"/>
  <c r="A72" s="1"/>
  <c r="A79" s="1"/>
  <c r="A85" s="1"/>
  <c r="A90" s="1"/>
  <c r="A93" s="1"/>
  <c r="A104" s="1"/>
  <c r="A110" s="1"/>
  <c r="A120" s="1"/>
  <c r="A123" s="1"/>
  <c r="A126" s="1"/>
  <c r="A133" s="1"/>
  <c r="A138" s="1"/>
  <c r="F40" i="87" l="1"/>
  <c r="F43" l="1"/>
  <c r="F44" s="1"/>
  <c r="F35" l="1"/>
  <c r="F36" s="1"/>
  <c r="F48" s="1"/>
  <c r="A114" i="58" l="1"/>
  <c r="A120" l="1"/>
  <c r="A124" l="1"/>
  <c r="A128" s="1"/>
  <c r="A135" s="1"/>
  <c r="A139" s="1"/>
  <c r="A143" s="1"/>
  <c r="A192" i="71" l="1"/>
  <c r="A203" s="1"/>
  <c r="A206" s="1"/>
  <c r="A147" i="58"/>
  <c r="A209" i="71" l="1"/>
  <c r="A212" s="1"/>
  <c r="A154" i="58"/>
  <c r="A158" l="1"/>
  <c r="A162" l="1"/>
  <c r="A167" s="1"/>
  <c r="A173" s="1"/>
  <c r="A177" s="1"/>
  <c r="A186" s="1"/>
  <c r="A190" s="1"/>
  <c r="A198" s="1"/>
  <c r="A205" s="1"/>
  <c r="A213" s="1"/>
  <c r="A218" s="1"/>
  <c r="A223" s="1"/>
  <c r="A117" i="72" l="1"/>
  <c r="A127" l="1"/>
  <c r="A137" l="1"/>
  <c r="A147" l="1"/>
  <c r="A153" l="1"/>
  <c r="A159" s="1"/>
  <c r="A165" s="1"/>
  <c r="A172" s="1"/>
  <c r="A185" l="1"/>
  <c r="A189" s="1"/>
  <c r="A200" l="1"/>
  <c r="A206" s="1"/>
  <c r="A172" i="67" l="1"/>
  <c r="A177" l="1"/>
  <c r="A185" s="1"/>
  <c r="A193" s="1"/>
  <c r="A200" s="1"/>
  <c r="A203" s="1"/>
  <c r="F49" i="87"/>
  <c r="F50" l="1"/>
</calcChain>
</file>

<file path=xl/sharedStrings.xml><?xml version="1.0" encoding="utf-8"?>
<sst xmlns="http://schemas.openxmlformats.org/spreadsheetml/2006/main" count="6417" uniqueCount="3427">
  <si>
    <t>IV</t>
  </si>
  <si>
    <t>BETONSKI I ARMIRANO-BETONSKI RADOVI</t>
  </si>
  <si>
    <t>napomene:</t>
  </si>
  <si>
    <t xml:space="preserve">Sve stavke podrazumijevaju nabavu, transport, ugradnju i njegu betona. </t>
  </si>
  <si>
    <t>Površine betonskih elemenata koji se završno samo gletaju i liče, potrebno je zidarski obraditi i izvesti kao potpuno glatke.</t>
  </si>
  <si>
    <t>Razredi izloženosti, požarna otposnost, klase čvrstoće, minimalni zaštitni slojevi i svi ostali relevantni podaci za konstruktivne elemente specificirani su u projektu konstrukcije-statičkom proračunu.</t>
  </si>
  <si>
    <t>Sve armiranobetonske elemente izvoditi/ armirati prema uputama iz projekta konstrukcije-statičkog proračuna te izvedbenoj dokumentaciji.</t>
  </si>
  <si>
    <t xml:space="preserve">* ili jednakovrijedno (norma)
</t>
  </si>
  <si>
    <t>Armaturu i zaštitne slojeve betona svake pojedine pozicije izvoditi u skladu s glavnim i izvedbenim projektom konstrukcije. Prije ugradnje obavezna je kontrola od strane nadzornog inženjera.</t>
  </si>
  <si>
    <t>m3</t>
  </si>
  <si>
    <t>Obračun po m3 ugrađenog betona i m2 oplate.</t>
  </si>
  <si>
    <t>m2</t>
  </si>
  <si>
    <t>Armirati prema statičkom proračunu i nacrtima armature.</t>
  </si>
  <si>
    <t>Izvoditi prema projektu arhitekture, planovima oplate i ostaloj izvedbenoj dokumentaciji, te prema uputstvima projektanta konstrukcije i nadzornog inženjera.</t>
  </si>
  <si>
    <t>OBAVEZNO fiksiranje kanalizacijskih cijevi prije betoniranja.</t>
  </si>
  <si>
    <t xml:space="preserve">Radovi se izvode uz otežanu (ručnu) ugradnju na manje pristupačnim mjestima. </t>
  </si>
  <si>
    <t>a)</t>
  </si>
  <si>
    <t>b)</t>
  </si>
  <si>
    <t>kom</t>
  </si>
  <si>
    <t xml:space="preserve">Obračun po m3 ugrađenog betona </t>
  </si>
  <si>
    <t>U sve betonske radove uračunata je glatka oplata, ukoliko nije drugačije napisano. Izvedba oplate uključuje sljedeće radove: dobava, montaža, demontaža oplate i sav potreban pribor za montažu oplate (podupirači, gredice, H nosači za stropne ploče, distanceri, španere, klinove,letve...). Konstruktivna skela za oplatu zidova je uračunata u jediničnoj cijeni.</t>
  </si>
  <si>
    <t>kg</t>
  </si>
  <si>
    <t>IX</t>
  </si>
  <si>
    <t>IZOLATERSKI RADOVI</t>
  </si>
  <si>
    <t xml:space="preserve">svi materijali hidroizolacija, toplinskih izolacija, zaštitnih folija, parnih brana i sl. koji se ugrađuju u pojedinim dijelovima građevine i međusobnom su u direktnom kontaktu, moraju međusobno biti kompatibilni. </t>
  </si>
  <si>
    <t>Pri odabiru izolacijskih materijala potrebno je posebnu pažnju obratiti na sastav pojedinih materijala, te koristiti materijale koji su inertni, bez potencijalnih zagađivača i bez nepovoljnog utjecaja na okoliš.</t>
  </si>
  <si>
    <t>Svi izolacijski materijali moraju zadovoljavati tehničke parametre propisane projektnom dokumentacijom i projektom uštede energije i toplinske zaštite.</t>
  </si>
  <si>
    <t>Podloga treba biti kompatibilna s hidroizolacijom. Ako podloga nije kompatibilna s hidroizolacijom, može doći do kemijske reakcije koja može degradirati hidroizolaciju. Iz tog se razloga treba napraviti razdjelni sloj (geotekstil– poliesterski ili polipropilenski, toplinska izolacija – EPS, XPS, mineralna vuna). Kao rezultat može biti skupljanje i skrućivanje hidroizolacije, što može imati za uzrok čupanje hidroizolacije na mjestu pričvršćenja.</t>
  </si>
  <si>
    <t>Ukoliko se tijekom ispitivanja vodonepropusnosti ("vodene probe") ili naknadno ustanovi tj. pojavi voda i/ili vlaga zbog nesolidne izvedbe, potrebno je detaljno pregledati površinu cijelog krova te ustanoviti oštećenja hidroizolacije i eventualno slojeva toplinske izolacije i parne brane, i popraviti ih u skladu s uputama izolacijskog sustava na trošak izvođača.
Izvođač mora, u tom slučaju, o svom trošku izvesti popravak pojedinih građevinskih i obrtničkih radova, koji se prilikom ponovne izvedbe oštete ili moraju demontirati.</t>
  </si>
  <si>
    <t>IZOLATERSKI RADOVI UKUPNO:</t>
  </si>
  <si>
    <t>V</t>
  </si>
  <si>
    <t>ARMIRAČKI RADOVI</t>
  </si>
  <si>
    <t>Dobava, izrada, siječenje, savijanje, postava i vezivanje armature kvalitete B 500B.</t>
  </si>
  <si>
    <t xml:space="preserve">Obračun po kg ugradjene armature. </t>
  </si>
  <si>
    <t/>
  </si>
  <si>
    <t>ARMIRAČKI RADOVI  UKUPNO:</t>
  </si>
  <si>
    <t>VIII</t>
  </si>
  <si>
    <t>ZIDARSKI RADOVI</t>
  </si>
  <si>
    <t xml:space="preserve">Izvesti prema statičkom proračunu i izvedbenom projektu - planu armature. </t>
  </si>
  <si>
    <t>Prije betoniranja nadzorni inženjer ili projektant konstrukcije treba pregledati montiranu armaturu i upisom u građevinski dnevnik odobriti betoniranje.</t>
  </si>
  <si>
    <t>Izvoditi sukladno detalju izvedbenog projekta i tehničkom listu odabranog dobavljača sustava.</t>
  </si>
  <si>
    <t>Minimalne tehničke karakteristike:</t>
  </si>
  <si>
    <t>U jediničnu cijenu uključen kompletan rad, materijal i pribor do pune funkcionalnosti u skladu s tehničkim listom odabranog proizvođača.</t>
  </si>
  <si>
    <t>m1</t>
  </si>
  <si>
    <t xml:space="preserve">   </t>
  </si>
  <si>
    <t xml:space="preserve">U jediničnu cijenu uključen kompletan rad, materijal i pribor do pune funkcionalnosti u skladu s tehničkim listom odabranog proizvođača. </t>
  </si>
  <si>
    <t>Obračun po m2 razvijene površine geotekstila.</t>
  </si>
  <si>
    <t>Prije uporabe određenih materijala izvođač je dužan nadzornom inženjeru predočiti uvjerenje o kvaliteti materijala. Ukoliko se tijekom radova od strane nadzornog inženjera zatraže ispitivanje prema važećim standarima, trošak istih snosi izvođač.</t>
  </si>
  <si>
    <t>- KV radnik</t>
  </si>
  <si>
    <t>- VKV radnik</t>
  </si>
  <si>
    <t>ZIDARSKI RADOVI UKUPNO</t>
  </si>
  <si>
    <t>Obračun po m1 izvedene špalete</t>
  </si>
  <si>
    <t xml:space="preserve"> - Ø 20-30 (cijevi)</t>
  </si>
  <si>
    <t xml:space="preserve"> - 20/30 cm (kanali)</t>
  </si>
  <si>
    <t>Obračun po kom zatvorenog prodora</t>
  </si>
  <si>
    <t>Obračun po m1</t>
  </si>
  <si>
    <t xml:space="preserve"> - šlic 5x5</t>
  </si>
  <si>
    <t xml:space="preserve"> - šlic 5x10</t>
  </si>
  <si>
    <t>Obračun po komadu</t>
  </si>
  <si>
    <t>Materijal koji se upotrebljava mora biti sukladan i jednakovrijedan sa normama koje su specificirane u projektu konstrukcije-statičkom proračunu.</t>
  </si>
  <si>
    <t>Radovi se izvode od strane ovlaštenih osoba te se po završetku radova investitoru predaje elaborat brtvljenja.</t>
  </si>
  <si>
    <t>Izvedba prema uputama proizvođača smjese. U jediničnu cijenu uključen sav rad materijal i pribor do pune gotovosti.</t>
  </si>
  <si>
    <t xml:space="preserve">  - otpornost na požar EI 60 prema EN 1363-1:1999 ili jednakovrijedno*</t>
  </si>
  <si>
    <t xml:space="preserve"> - otvori do 0,02 m2</t>
  </si>
  <si>
    <t xml:space="preserve"> - otvori od 0,02 do 0,1 m2</t>
  </si>
  <si>
    <t xml:space="preserve"> - otvori od 0,1 do 0,2 m2 </t>
  </si>
  <si>
    <t>Obračun po komadu:</t>
  </si>
  <si>
    <t>Ovi radovi izvode se uz prethodnu suglasnost nadzornog inženjera te evidenciju u građevinskom dnevnicu.</t>
  </si>
  <si>
    <t>Obračun po satu:</t>
  </si>
  <si>
    <t>Izvodi se na čela i gazišta stubišta, podlijevanje ankera, udubljenja, rupa, gnijezda u betonu i razne druge radove.</t>
  </si>
  <si>
    <t>Izvedba prema uputama proizvođača. U jediničnu cijenu uključen sav rad materijal i pribor do pune gotovosti.</t>
  </si>
  <si>
    <t>Obračun po m2 izvedene površine:</t>
  </si>
  <si>
    <t xml:space="preserve"> - debljina sloja 0-50 mm</t>
  </si>
  <si>
    <t xml:space="preserve"> - debljina sloja 0-20 mm</t>
  </si>
  <si>
    <t>h</t>
  </si>
  <si>
    <t>Obračun po kompletu.</t>
  </si>
  <si>
    <t>kpl</t>
  </si>
  <si>
    <t>III</t>
  </si>
  <si>
    <t>ZEMLJANI RADOVI</t>
  </si>
  <si>
    <t>Sva eventualna podupiranja, razupiranja i zaštita iskopa obuhvaćena su jediničnim cijenama. Potrebna građa za podupiranje mora biti pripremljena na gradilištu prije početka iskopa.</t>
  </si>
  <si>
    <t>Ako se iskopane jame oštete, odrone ili zatrpaju nepažnjom, ili uslijed nedovoljnog podupiranja, izvođač ih dovodi u ispravno stanje, bez posebne naknade.</t>
  </si>
  <si>
    <t>Prilikom izvedbe radova izvođač je dužan pridržavati se uputa za rad na siguran način te provoditi sve mjere zaštite na radu prema važećim zakonima i pravilnicima. Navedene radove potrebno je ukalkulirati u jedinične cijene.</t>
  </si>
  <si>
    <t>Ako nije posebno navedeno, iskopani materijal transportira se na gradsko odlagalište, što je obuhvaćeno jediničnom cijenom stavaka.</t>
  </si>
  <si>
    <t>Obračun po m2 raščišćenog terena.</t>
  </si>
  <si>
    <t xml:space="preserve">U cijenu uračunati utovar i odvoz neupotrebljivog materijala na deponiju udaljenu cca 20 km. </t>
  </si>
  <si>
    <t xml:space="preserve">Rad obuhvaća strojno i ručno uklanjanje raslinja, svega organskog porijekla, panjeva i korijenja min. 20 cm ispod razine temeljnog tla. </t>
  </si>
  <si>
    <t>Uređenje i organizacija gradilišta</t>
  </si>
  <si>
    <t xml:space="preserve">Geodetski radovi za vrijeme gradnje. </t>
  </si>
  <si>
    <t>Stavka obuhvaća sve potrebne geodetske radnje od uvođenja izvođača u posao do primopredaje.</t>
  </si>
  <si>
    <t xml:space="preserve">Strojno skidanje humusa </t>
  </si>
  <si>
    <t>Obračun po m3 iskopanog materijala u sraslom stanju.</t>
  </si>
  <si>
    <t>Iskopana zemlja se privremeno deponira na gradilištu u svrhu kasnijeg zatrpavanja i planiranje (obračunave se u posebnoj stavci)</t>
  </si>
  <si>
    <t>Stavka obuhvaća iskop, prebacivanje/utovar i transport zemlje na privremenu deponiju gradilišta.</t>
  </si>
  <si>
    <t>Po izvedbi iskopa na projektiranu kotu potrebno je izvršiti pregled od strane nadzornog inžinjera/geomehaničara, te utvrditi da li zatečena svojstva odgovaraju svojstvima određenima projektnom dokumentacijom. Ukoliko izvođač prilikom iskopa zemlje naiđe na bilo kakve predmete, objekte ili instalacije dužan je na tom mjestu promptno obustaviti radove i o tome obavijestiti nadzornog inženjera. Podatke o pregledu temeljnog tla te potrebnim mjerama koje će se eventualno morati provesti potrebno je evidentirati u građevinski dnevnik izvođača radova.</t>
  </si>
  <si>
    <t>Stavka obuhvaća dobavu, nasipavanje, razastiranje, eventualno potrebno vlaženje ili sušenje, grubo planiranje i nabijanje materijala. Materijal se ugrađuje i nabija u slojevima dok se ne postigne adekvatan modul stišljivosti.</t>
  </si>
  <si>
    <t>Obračun po m3 ugrađenog materijala u zbijenom stanju.</t>
  </si>
  <si>
    <t>Stavka obuhvaća dobavu, nasipavanje, razastiranje, grubo planiranje i valjanje/nabijanje.  Materijal se ugrađuje i nabija u slojevima dok se ne postigne adekvatan modul stišljivosti.</t>
  </si>
  <si>
    <t xml:space="preserve"> - ugradnja deponiranog materijala na gradilištu</t>
  </si>
  <si>
    <t xml:space="preserve"> - dobava i ugradnja novog zemljanog materijala </t>
  </si>
  <si>
    <t>Pripremni radovi odnose se na:</t>
  </si>
  <si>
    <t xml:space="preserve">2. Eventualno izmještanje (ili djelomično uklanjanje) zatečenih instalacija na parceli  </t>
  </si>
  <si>
    <t>3. Ostale radove od uvođenja do kraja građenja koji nisu obuhvaćeni ostalim dijelovima troškovnika a nužni su za primopredaju objekta investitoru.</t>
  </si>
  <si>
    <t>Ovom grupom radova obuhvaćeni su svi radovi u zoni obuhvata zahvata za izgradnju projektirane građevine.</t>
  </si>
  <si>
    <t>Troškove izrade, korištenja i demontaže svih pomoćnih, radnih i fasadnih skela i ograda kao i tehnologiju vertikalnog transporta i rada na visini potrebno je ukalkulirati u jedinične cijene.</t>
  </si>
  <si>
    <t>Troškove izrade, korištenja i demontaže svih pomoćnih, radnih i fasadnih skela (ako nije drugačije navedeno) i ograda kao i tehnologiju vertikalnog transporta i rada na visini potrebno je ukalkulirati u jedinične cijene.</t>
  </si>
  <si>
    <t>Potrebno je osigurati struju, vodu, grijanje, hlađenje i sanitarije.</t>
  </si>
  <si>
    <t xml:space="preserve">Izvođač snosi odgovornost  za sigurnost opreme u slučaju požara, krađe ili drugih vrsta rizika. Potrebno je omogućiti korištenje prostora za cijelo vrijeme gradnje, do izdavanja uporabne dozvole. </t>
  </si>
  <si>
    <t xml:space="preserve">Stavka obuhvaća postavljenje zaštitne gradilišne ograde i formiranje kontroliranog pristupa, organiziranje gradilišta u skladu sa zaštitom na radu, formiranje prilaznih puteva, površina za deponiranje gradilišnog materijala, doprema gradilištnih WC-a i sanitarija, kontejnera za razvrstavanje otpada. </t>
  </si>
  <si>
    <t>Ploču postaviti na vidljivom mjestu na ulazu u gradilište.</t>
  </si>
  <si>
    <t>Obračun po fazama.</t>
  </si>
  <si>
    <t xml:space="preserve">- 1.Čišćenje nakon grubih građ. radova zajedno s iznošenjem suvišnog materijala, šute, opeke i sl. </t>
  </si>
  <si>
    <t>- 2.Čišćenje prije žbukanja i ugradbe elemenata stolarije i bravarije.</t>
  </si>
  <si>
    <t>c)</t>
  </si>
  <si>
    <t>- 3.Čišćenje poslije izvedbe instalacija.</t>
  </si>
  <si>
    <t>d)</t>
  </si>
  <si>
    <t xml:space="preserve">- 4.Čišćenje prije polaganja podova. </t>
  </si>
  <si>
    <t>e)</t>
  </si>
  <si>
    <t xml:space="preserve">- 5. Završno čišćenje objekta prije tehničkog pregleda koje mora biti i najkvalitetnije. </t>
  </si>
  <si>
    <t>Ručni iskop probnih šliceva.</t>
  </si>
  <si>
    <t xml:space="preserve">Ova stavka izvodi se isključivo po odobrenju i uputama nadzornog inžinjera. </t>
  </si>
  <si>
    <t>Obračun prema stvarno izvedenim količinama iskopa i važećim normativima.</t>
  </si>
  <si>
    <t>sati</t>
  </si>
  <si>
    <t>Zaštita postojećih komunalnih instalacija.</t>
  </si>
  <si>
    <t>Ova stavka obuhvaća:</t>
  </si>
  <si>
    <t>ručni otkop zemlje radi detektiranja instalacija, oblaganje instalacija prefabrikantima - polucijevima FI 10 do 15 cm, zatrpavanje i zbrinjavanje viška zemlje .</t>
  </si>
  <si>
    <t>Obračun će se izvršti prema stvarno izvedenim količinama zaštite instalacija, prema važećim normativima i O.T.U.</t>
  </si>
  <si>
    <t>Izmještanje postojećih instalacija na parceli u zoni obuhvata zahvata.</t>
  </si>
  <si>
    <t>Jediničnom cijenom obuhvaćeno izvođenje prekida svih postojećih priključaka na infrastrukturi u tlu ( umrtvljivanje, otpajanje), sve potrebe zaštite, rušenja i iskopi, te izvedba instalacija na novoj poziciji i izvedba priključaka do pune funkcionalnosti.</t>
  </si>
  <si>
    <t>Obračun prema stvarno izvedenim količinama radova, prema važećim normativima.</t>
  </si>
  <si>
    <t>Stavka podrazumijeva stalno praćenje i snimanje svih izvedenih podzemnih i nadzemnih instalacija (kanalizacija, vodovod, strojarske, elektroinstalacije, TK kabel, tehnološke instalacije itd) te izradu samog Projekta izvedenog stanja građevine i instalacija na kojem su vidljive sve eventualne izmjene u odnosu na projektnu dokumentaciju sa ucrtanim instalacijama po svim strukama uključivo snimanje zatečenih instalacija.
Projekt izvedenog stanja dostavlja se Investitoru u 4 papirnata primjerka i 2 elektronska na CD-u (u PDF i DWG formatu).</t>
  </si>
  <si>
    <t>m'</t>
  </si>
  <si>
    <t xml:space="preserve">Zamjena lošeg temeljnog tla ispod temeljne konstrukcije građevine. </t>
  </si>
  <si>
    <t>Postojeće loše tlo potrebno je iskopati do nosivog tla i izvršiti zamjenu odgovarajućim zamjenskim kamenim materijalom (tampon - tucanik) do kote temeljenja što je posebno obračunato.</t>
  </si>
  <si>
    <t>Postojeće loše tlo potrebno je iskopati do nosivog tla i izvršiti zamjenu odgovarajućim zamjenskim materijalom (tampon - tucanik) do kote temeljenja što je posebno obračunato.</t>
  </si>
  <si>
    <t>Stavkom obuhvatiti utovar i odvoz iskopanog materijala na odlagalište po izboru izvođača, uključivo sa svim taksama i naknadama.</t>
  </si>
  <si>
    <t>Obračun prema m3 iskopanog zemljanog materijala u sraslom stanju.</t>
  </si>
  <si>
    <t>I</t>
  </si>
  <si>
    <t>PRIPREMNI RADOVI</t>
  </si>
  <si>
    <t>II</t>
  </si>
  <si>
    <t>VI</t>
  </si>
  <si>
    <t>Obračun po m2.</t>
  </si>
  <si>
    <t>FASADERSKI RADOVI</t>
  </si>
  <si>
    <t>VII</t>
  </si>
  <si>
    <t>Jedinična cijena za obračun radova, pored navedenog u stavki uključuje i:</t>
  </si>
  <si>
    <t>sve potrebne radove, sav potreban pomoćni materijal te sav potreban pribor</t>
  </si>
  <si>
    <t>PODOPOLAGAČKI RADOVI</t>
  </si>
  <si>
    <t>Čvrsta, brzostvrdnjavajuća, izravnavajuća cementna masa. Služi za poravnavanje, popravljanje i ispunjavanje rupa i dubokih neravnina u estrisima i betonima.</t>
  </si>
  <si>
    <t>Potrošnja: cca 1,5 kg/m2/mm debljine sloja. Podloga mora biti suha, nesmrznuta, čvrsta, nosiva, stabilne forme, bez prašine, prljavštine, ulja, masti, sredstava za odvajanje i nevezanih dijelova. Potrebno je pridržavati se normi, smjernica i uputstva vezanih za podlogu i materijal. Nije preporučljiva primjena pri temperaturi ispod + 5° C. Visoka vlažnost zraka i niske temperature usporavaju, dok visoke temperature ubrzavaju proces vezivanja i stvrdnjavanja.</t>
  </si>
  <si>
    <t>U cijenu uključen sav potreban rad, materijal i pribor.</t>
  </si>
  <si>
    <t xml:space="preserve">Stavka podrazumjeva kompletan materijal, sva pričvrsna i spojna sredstva, rad i alat do potpune gotovosti. </t>
  </si>
  <si>
    <t>Stavka podrazumjeva kompletan materijal, sva pričvrsna i spojna sredstva, rad i alat do potpune gotovosti. Obračun po m'.</t>
  </si>
  <si>
    <t>Taktilni čep profila 35 mm, visine 5 mm; taktilna vodilica 295/25/5 mm.</t>
  </si>
  <si>
    <t>U cijenu uključeno bušenje rupa promjera 10 mm i dubine 25 mm u podovima, a za ugradnju čepova i vodilica  taktilnih površina.</t>
  </si>
  <si>
    <t>Obračun po komadu polja.</t>
  </si>
  <si>
    <t>PODOPOLAGAČKI RADOVI UKUPNO</t>
  </si>
  <si>
    <t xml:space="preserve">Radna skela bez obzira na visinu uračunata je u jediničnu cijenu. </t>
  </si>
  <si>
    <t>Stavka obuhvaća nabavu, dopremu, montažu, demontažu te sva eventualna premještanja skele za potrebe izvođenja radova. Obračun je po m2 vertikalne površine koju treba oskeliti, s uključenim dodatnim radnim i manevarskim prostorom. U cijenu uključiti sav rad, materijal, alate, strojeve i opremu potrebnu za potpuno dovršenje stavke, izradu projekta skele.</t>
  </si>
  <si>
    <t>Obračun po m2</t>
  </si>
  <si>
    <t>Jedinična cijena stavke obuhvaća:                      - sav materijal, dopremu, uskladištenje i čuvanje   
- sav rad, sa svim horizontalnim i vertikalnim transportima                               
- potrebne skele 
- sva izrezivanja, pripasivanja, bandažiranja, obradu spojeva, kao i izvedbu špaleta oko otvor                
- sva vezna sredstva i podkonstrukciju
- obavezna ugradnja brtvenih traka ili brtvenog kita (obzirom na tražene zahtjeve zaštite od buke) na spojevima pregradnih stijena iz gk ploča s obodnom horizontalnom i vertikalnom čvrstom (ab ili zidanom) konstrukcijom   
- otežane uvjete rada, rada pod umjetnom rasvjetom ili u skučenim prostorima       
- čišćenje radnog mjesta i odvoz otpada  
- zaštitu od oštećenja i prljanja do primopredaje</t>
  </si>
  <si>
    <t>Ukoliko se pregradne stijene nalaze u 'mokrim' prostorima, jediničnom cijenom stavaka obuhvaćena je ugradnja vodoodbojnih ploča kao vanjske obloge pregradne stijene.</t>
  </si>
  <si>
    <t>Prije izvedbe radova, provjeriti dimenzije otvora prema shemama bravarije i stolarije.</t>
  </si>
  <si>
    <t>Na sudarima pregradne stijene iz gk ploča na tipskoj metalnoj podkonstrukciji i obodne horizontalne i vertikalne konstrukcije (pod, strop i zidovi) obavezna izvedba brtvenih traka ili brtvenog kita radi sprečavanja prijenosa udarnog zvuka, a što je uključeno u jediničnu cijenu stavke.</t>
  </si>
  <si>
    <t>U pregradnim stijenama potrebno je ugraditi sva potrebna ojačanja u konstrukciji za ugradnju vrata, te postavu  elemenata sanitarija i ostalih projektom predviđenih elemenata opreme.</t>
  </si>
  <si>
    <t>Montaža okvira za postavu ugrađenih hidranata istodobno s montažom profila konstrukcije, što je uključeno u cijenu.</t>
  </si>
  <si>
    <t>Sve spojeve bandažirati plastičnim rabicom. Na uglove ugraditi zaštitne profile. Uključivo kitanje, gletanje zidova i sl. do potpune spremnosti zidova za soboslikarske i keramičarske radove.</t>
  </si>
  <si>
    <t xml:space="preserve">Sve izvesti prema projektiranom detalju i izmjeri u naravi. </t>
  </si>
  <si>
    <t>Sve izvesti s originalnim materijalom i elementima, te prema uputama prizvođača.</t>
  </si>
  <si>
    <t>U cijenu je uključen pribor rad, materijal i pribor.</t>
  </si>
  <si>
    <t>Obračun po m² izvedene pregradne stijene.</t>
  </si>
  <si>
    <t>Prije izrade i ugradbe elemenata potrebno je sve radioničke detalje završnih obrada i montaže dostaviti projektantu na ovjeru, te provjeriti mogućnost otvaranja vrata u sanitarijama.</t>
  </si>
  <si>
    <t>U jediničnu cijenu uključen sav potreban rad, sav originalan materijal te pribor do pune gotovosti zidne obloge.</t>
  </si>
  <si>
    <t>Obračun po m2 izvedene obloge.</t>
  </si>
  <si>
    <t>Dobava i ugradnja elemenata i pribora za ovjes sanitarnih uređaja (tipski elementi iz korištenog sustava gipskartonskih zidova).</t>
  </si>
  <si>
    <t>U jediničnu cijenu uključen sav potreban rad, materijal i pribor, te pomoćna skela sve do pune funkcionalnosti otvora.</t>
  </si>
  <si>
    <t>Glatka struktura površine. Glavni profili se ovjesnim elementima učvršćuju za nosivu stropnu konstrukciju iz armiranog betona.</t>
  </si>
  <si>
    <t>Nosivi i montažni profili učvršćeni su pomoću ovjesa na nosivu AB kontrukciju stropa.</t>
  </si>
  <si>
    <t xml:space="preserve">Uključivo rubni perforirani lim širine 15 cm na profilima u spoju sa zidom radi ventilacije. Sve prema detalju. </t>
  </si>
  <si>
    <t>Obračun po m² kompletno izvedenog spuštenog stropa.</t>
  </si>
  <si>
    <t>Obračun po komadu ugrađenih revizija.</t>
  </si>
  <si>
    <t xml:space="preserve">Prije davanja ponuda svi zainteresirani gospodarski subjekti trebaju proučiti projektnu dokumentaciju i troškovnik te postaviti upite za pojašnjenjem putem Elektroničkog oglasnika javne nabave. Za sve stavke predviđen je originalni materijal sa svim potrebnim atestima i potvrdama o kvaliteti. Svi proizvodi i materijali koji se ugrađuju svojim karakteristikama u svemu moraju zadovoljavati zahtjevima iz projekta proračuna fizikalnih svojstava građevine. </t>
  </si>
  <si>
    <t>Smjerove padova betona usmjeriti prema izvedbenim projektima.</t>
  </si>
  <si>
    <t>Veće površine se dilatiraju, a fuge ispunjavaju kitom.</t>
  </si>
  <si>
    <t>Beton zaglađen daščicom do potpune glatkoće.</t>
  </si>
  <si>
    <t>Obračun po m3</t>
  </si>
  <si>
    <t xml:space="preserve">Napomena: Ova stavka izvodi se isključivo po pismenom odobrenju, uputama i preporukama ovlaštenog geomehaničara, nakon uvida u postojeće stanje i vizualne kontrole temeljnog tla od strane geomehaničara i nadzornog inženjera. </t>
  </si>
  <si>
    <t>BRAVARSKI RADOVI</t>
  </si>
  <si>
    <t>Opći uvjeti za sve bravarske radove:</t>
  </si>
  <si>
    <t>Svaka od bravarskih stavki obuhvaća dobavu izradu i ugradbu kompletne bravarske stavke, sav potreban rad materijal i pribor, okov za vrata ručke za otvaranje, bravu sa ključem, kod vatrootpornih vrata pumpe za zatvaranje vrata, odbojnike za vrata i sl.</t>
  </si>
  <si>
    <t>Ručke za otvaranje vrata i brave prema namjeni prostorija. U sanitarnim čvorovima i kupaonama s unutarnje predviđene su brave za sanitarne prostore.</t>
  </si>
  <si>
    <t>Podijela prema shemama bravarije.</t>
  </si>
  <si>
    <t>Broj lijevih i desnih jednokrilnih vrata odrediti prema shemama.</t>
  </si>
  <si>
    <t xml:space="preserve">Akustičko - izolacijske karakteristike unutarnjih i vanjskih prozora i vrata, njihova konstrukcija i ustakljenje moraju u svemu zadovoljiti zahtjeve  iz projekta proračuna fizikalnih svojstava zgrade. </t>
  </si>
  <si>
    <t xml:space="preserve">Rw, min 25-29 dB (2. klasa) za sanitarije i  pomoćne prostorije, te </t>
  </si>
  <si>
    <t>Spoj krila sa dovratnikom treba biti brtvljen jednom kontinuiranom gumenom trakom.</t>
  </si>
  <si>
    <t>Izolacijsku vrijednost ugrađenih vrata i prozora treba dokazati laboratorijskim ispitivanjima, a kategorizaciju provesti sa stručnom službom investitora, odnosno dokazati certifikatima proizvođača ugrađenih vrata i prozora (dokazima o laboratorijskim ispitivanjima s zadovoljavajućim postignutim rezultatima).</t>
  </si>
  <si>
    <t>Prozori, ostakljena vrata, staklene stijene ostakljeni su IZO staklom.</t>
  </si>
  <si>
    <t>Za ostakljenje vanjskih stavki:</t>
  </si>
  <si>
    <t>Sigurnosno ostakljenje za sve površine visine 200 cm od gornje kote završenog poda bez obzira kako je opisano u stavci - izo unutarnje staklo kaljeno lamistal, a kod ploha pristupačnih izvana (na balkonima, ulazima i sl.) i vanjsko.</t>
  </si>
  <si>
    <t>Na svim unutarnjim vratima, koja su dostupna djeci, ugraditi "zakačke za vrata" kojima se štite prsti djeci.</t>
  </si>
  <si>
    <t>Uz to, potrebno je dostaviti karakteristične uzorke svih profila koji će se koristiti za izvedbu sustava aluminijske bravarije na zgradi, dužine ne manje od 30cm u odabranoj boji, uzorke svih predloženih kvaka, ručki, brava, šarnira, zatvarača i ostalog okova koji je vidljiv. Uzorke predloženog stakla dostaviti u formatu 30x30cm uz tehničke listove iz kojih su vidljive sve tehničke karakteristike za svaki od tipova  odabranog stakla - proračunski podaci za solarnu energiju i vidljivi dio spektra po EN410-2011 ili jednakovrijedno i spektralne vrijednosti u numeričkom i grafičkom prikazu kako bi se dokazala usklađenost s minimalnim i/ili maksimalnim propisanim vrijednostima iz opisa traženog ostakljenja.</t>
  </si>
  <si>
    <t>Također je potrebno dostaviti i uzorke svih panela, limova i drugih netransparentnih ispuna u odabranoj boji u formatu 30x30cm radi odobrenja kompatibilnosti završne obrade svih elemenata koji se ugrađuju u istoj boji, kao i limenih i drugih opšava, te drugih materijala za spoj aluminijske bravarije sa okolnim površinama i sustavima u istoj dimenziji i boji.</t>
  </si>
  <si>
    <t>Radovi na izvedbi i ugradnji aluminijske bravarije obuhvaćaju (ali nisu ograničeni samo na), kako slijedi:</t>
  </si>
  <si>
    <t>- dobavu materijala, radioničku izradu i pripremu, uključujući propisanu završnu obradu i izmjere na gradilištu prije početka radioničke pripreme i izrade;</t>
  </si>
  <si>
    <t>- staklo i pribor za ugradnju stakla, a za sve pozicije koje čine vanjsku aluminijsku bravariju;</t>
  </si>
  <si>
    <t>Staklo je lijevano ("float") staklo prema EN 572 ili jednakovrijedno i obavezno s niskim udjelom željeznog oksida ("low-iron"), ne više od 0,01% u staklenoj masi. Svo staklo mora biti iz istog izvora i proizvedeno u istom ciklusu. Najmanja debljina pojedinih ploča stakla je 5mm za vanjska stakla i 4mm za unutarnja stakla. Pri odabiru i dimenzioniranju stakla je potrebno voditi računa o otpornosti na djelovanja, riziku od toplinskog šoka i utjecaju klimatskog djelovanja.</t>
  </si>
  <si>
    <t>Opći uvjeti za protupožarnu bravariju:</t>
  </si>
  <si>
    <t>Protupožarna vrata se u svemu izvode prema atestiranom sustavu proizvođača.</t>
  </si>
  <si>
    <t>Stavka obuhvaća sav rad, pribor i materijal do pune funkcionalnosti vrata.</t>
  </si>
  <si>
    <t>Opći uvjeti za crnu bravariju:</t>
  </si>
  <si>
    <t>U cijenu stavke uključena sva potrebna antikorozivna zaštita i plastificiranje.</t>
  </si>
  <si>
    <t>Osiguranje od pada s krova - točke</t>
  </si>
  <si>
    <t>Osiguranje od pada s krova - sajla</t>
  </si>
  <si>
    <t>BRAVARSKI RADOVI UKUPNO</t>
  </si>
  <si>
    <t>KERAMIČARSKI RADOVI</t>
  </si>
  <si>
    <t>opći uvjeti:</t>
  </si>
  <si>
    <t>U svim sanitarnim i ostalim vlažnim prostorijama prije izvedbe podnih i zidnih keramičkih pločica, na podlozi iz armiranog cementnog estriha na podu, te na  unutarnjoj strani dijela zidova, izvodi se hidroizolacijski premaz, a što je posebno obračunato u grupi izolaterskih radova. Ljepljenje keramičkih pločica fleksibilnim ljepilom te fugiranje epoksidnom fugir masom u nijansi kao pločice. Obrada svih spojeva pod-zid i zid-zid s poliuretanskim trajno-elastičnim kitom u istoj nijansi. Sve raditi prema uputstvima proizvođača.</t>
  </si>
  <si>
    <t>Priprema podloge uključuje mehaničku pripremu (brušenje, sačmarenje, frezanje), grundiranje u svrhu učvršćenja i vezivanja prašine, zapunjavanje pukotina i izrada nagiba.
Nagib podloge pod definiranim kutom omogućava ispravno otjecanje vode.</t>
  </si>
  <si>
    <t>Izvođač radova za sve je ugrađene keramičke pločice dužan dostaviti atestnu dokumentaciju, kojom dokazuje da ugrađene pločice zadovoljavaju tražene karakteristike protukliznosti, klasu reakcije na požar, otpornosti na smrzavanje i mehanička oštećenja.</t>
  </si>
  <si>
    <t>Jediničnom cijenom radova obuhvaćena je izvedba sokla iz keramičkih pločica na svim obodnim zidovima uz opločene površine, na kojima projektom nije predviđena izvedba zidne obloge iz keramičkih pločica. Sokl se izvodi iz ljepljenih ker. pločica visine 10cm, sa svim spojnim i pričvrsnim materijalom i radom uključenim u jediničnu cijenu stavke.</t>
  </si>
  <si>
    <t>Rezanje, brušenje, fugiranje i čišćenje opločenja te dobava fleksibilnog ljepila i mase za fugiranje sadržano je u jediničnoj cijeni. Sve izvesti prema uputama proizvođača keramike. U cijenu uključen sav potreban rad, pomoćni materijal i pribor do pune gotovosti.</t>
  </si>
  <si>
    <t>Obračun po m2 izvedenog opločenja poda.</t>
  </si>
  <si>
    <t xml:space="preserve">Rezanje, brušenje, fugiranje i čišćenje opločenja te dobava fleksibilnog ljepila i mase za fugiranje sadržano je u jediničnoj cijeni. U cijenu uključen sav potreban rad, pomoćni materijal i pribor, potrebne kutne aluminijske lajsne na svim sudarima keramičkih pločica. Oblik al. kutne lajsne ravnih linija. Cijenom obuhvatiti paletu tonova proizvođača cjenovno srednje tržišne klase. </t>
  </si>
  <si>
    <t>Obračun po m2 izvedene površine.</t>
  </si>
  <si>
    <t>KERAMIČARSKI RADOVI UKUPNO</t>
  </si>
  <si>
    <t>LIMARSKI RADOVI</t>
  </si>
  <si>
    <t>Obračun po m'.</t>
  </si>
  <si>
    <t>LIMARSKI RADOVI UKUPNO</t>
  </si>
  <si>
    <t>Obračun po kom.</t>
  </si>
  <si>
    <t>Podloga na koju treba zalijepiti ogledalo mora biti:
- dovoljno ravna, tako da se ogledalo može postaviti bez naprezanja
- dovoljno čvrsta
- bez prašine, masnoće i prljavštine.
- dovoljno suha (sloj žbuke na zidu mora biti dovoljno suh kako bi bili sigurni da iza ogledala ne dolazi do nakupljanja vlage)</t>
  </si>
  <si>
    <t>Ljepila za ogledala koristiti u kombinaciji s obostrano ljepljivom trakom (cca 12 mm široka i cca 3 mm debela). Primjenom ove trake stvara se između ogledala i podloge prostor debljine 3 mm koji omogućuje ventiliranje iza ogledala radi izbjegavanja kondenzacije ili nakupljanja vlage sa stražnje strane ogledala što bi za posljedicu moglo imati oštećenje reflektirajućeg srebrnog sloja ogledala.</t>
  </si>
  <si>
    <t xml:space="preserve">Tip aparata, oznaka i postavljanje trebaju biti u skladu s odredbama Pravilnika o vatrogasnim aparatima NN 101/2011. </t>
  </si>
  <si>
    <t>Postava na pozicijama definiranim elaboratom zaštite od požara, ukljičivo sa svim spojnim i pričvrsnim elementima te oznakama. Obračun po komadu.</t>
  </si>
  <si>
    <t xml:space="preserve">Postava ormarića u prostorima definiranima projektiranim mjerama zaštite na radu, te važećim zakonim i propisima iz područja zaštite na radu. </t>
  </si>
  <si>
    <t xml:space="preserve">Obračun po komadu. </t>
  </si>
  <si>
    <t>Sve pregradne stijene je potrebno izvoditi do nosive ili stropne konstrukcije, iznad razine spuštenog stropa (ukoliko on postoji kao interijerska završna obrada stropa). Spušteni stropovi na putevima za evakuaciju moraju imati reakciju na požar hodnici: B-s1, d0; stubišta: A-S1, d0.</t>
  </si>
  <si>
    <t>U cijenu je uključen pribor za ovjes i obrade oko elemenata u stropu, te izrezivanje ploča za postavu rasvjetnih tijela, strojarske opreme, te revizionih otvora.</t>
  </si>
  <si>
    <t>Dobava, nabava i ugradnja - tipskih revizijskih vratašaca dim 20x20, 40x40 i 60x60 cm u spuštenom stropu iz gipskartonskih ploča. Ploha krila poklopca je iz gips-kartonskih ploča, završno se liči u isti ton kao i strop - ličenje u zasebnoj stavci. Ugrađuje se u ravnini s plohom stropa. Vrata trebaju imati skriveni sustav zatvaranja, te biti funkcionalna i neupadljiva. Metalni elementi eloksirani. U jediničnu cijenu uključen sav potreban rad, materijal i pribor do pune gotovosti revizonih poklopaca.</t>
  </si>
  <si>
    <t>a) revizijski poklopci 20x20 cm:</t>
  </si>
  <si>
    <t>b) revizijski poklopci 40x40 cm:</t>
  </si>
  <si>
    <t>c) revizijski poklopci 60x60 cm:</t>
  </si>
  <si>
    <t>Dobava, nabava i ugradnja ogledala s fazetom iznad umivaonika, u širini zida, visine 105 cm, odnosno 80 cm.</t>
  </si>
  <si>
    <t>Obračun po m3.</t>
  </si>
  <si>
    <t>PRIPREMNI RADOVI UKUPNO</t>
  </si>
  <si>
    <t>ZEMLJANI RADOVI UKUPNO</t>
  </si>
  <si>
    <t>FASADERSKI RADOVI UKUPNO:</t>
  </si>
  <si>
    <t>X</t>
  </si>
  <si>
    <t>XI</t>
  </si>
  <si>
    <t>XII</t>
  </si>
  <si>
    <t>XIII</t>
  </si>
  <si>
    <t>XIV</t>
  </si>
  <si>
    <t>XVI</t>
  </si>
  <si>
    <t>- prijelazne opšave prema okolnim površinama i sustavima, izvedene iz aluminijskog lima debljine ne manje od 3mm za sve vidljive limove i ne manje od 2mm za sve ostale aluminijske limove i vidljive limove čija je kraća stranica manja od 200 mm ili kompozit</t>
  </si>
  <si>
    <t>Cilindar s ključem.</t>
  </si>
  <si>
    <t>a/ oznaka 1.1</t>
  </si>
  <si>
    <t>b/ oznaka 1.2</t>
  </si>
  <si>
    <t>c/ oznaka 1.3</t>
  </si>
  <si>
    <t>Dobava i postavljanje oznaka pristupačnosti prema Pravilniku o osiguranju pristupačnosti osobama s invaliditetom i smanjene pokretljivosti. Naljepnice iz plastike otporne na vremenske uvjete, dimenzija 15cm x 15cm. Postavljaju se u ulaznom prostoru prema čl. 16.</t>
  </si>
  <si>
    <t xml:space="preserve"> - polja linija vođenja kao čepovi (40x40)</t>
  </si>
  <si>
    <t xml:space="preserve"> - polja linija vođenja kao vodilica (40x40)</t>
  </si>
  <si>
    <t xml:space="preserve">Obuhvatiti pranje i čišćenje stakala iznutra i izvana, vratiju, podova i opločenja, zaštitu ugrađene i instalirane opreme od utjecaja radova na objektu (zaštita od prašine oštećivanja i sl.) s kompletnim odvozom i zbrinjavanjem otpada dobivenog čišćenjem. 
</t>
  </si>
  <si>
    <t>R.br.</t>
  </si>
  <si>
    <t>Opis stavke</t>
  </si>
  <si>
    <t xml:space="preserve"> J.m.</t>
  </si>
  <si>
    <t>Kol.</t>
  </si>
  <si>
    <t>Jed.cijena</t>
  </si>
  <si>
    <t>Uk. Cijena</t>
  </si>
  <si>
    <t>Napomene:</t>
  </si>
  <si>
    <t xml:space="preserve"> </t>
  </si>
  <si>
    <t>- Ispitivanje ugrađene čelične konstrukcije (ispitivanje materijala, zavarenih spojeva, debljina boje, cinka itd ...)</t>
  </si>
  <si>
    <t>- Izvještaj o ispitivanju modula stišljivosti (objekt, okoliš, prometnice, parkinzi)</t>
  </si>
  <si>
    <t xml:space="preserve">Dobava i postava ormarića prve pomoći u prostorima građevine - postava ormarića nakon završetka svih radova na izgradnji i uređenju građevine, prije tehničkog pregleda. </t>
  </si>
  <si>
    <t>Za izradu izolacijskog stakla koristiti laminirano staklo  prema EN 12543 ili jednakovrijedno.  Pri proračunu za laminirano staklo, dozvoljeno koristiti efekt sprezanja dvije staklene ploče za proračun utjecaja dugotrajnih opterećenja u skladu prEN 16612 i prEN16613 ili jednakovrijedno.</t>
  </si>
  <si>
    <t>U svim stavkama sa vratima uračunata i dobava i ugradba gumenih odbojnika za vrata s aluminijskim eloksiranim dijelom. Odbojnik se učvršćuje u pod vijkom M 8x90 ili u zid, kod montaže se konzultirati s investitorom.</t>
  </si>
  <si>
    <t>OPĆI UVJETI ZA GRAĐEVINSKO - OBRTNIČKE RADOVE</t>
  </si>
  <si>
    <t>REKAPITULACIJA</t>
  </si>
  <si>
    <t xml:space="preserve">ELEKTRIČNE INSTALACIJE </t>
  </si>
  <si>
    <t>XVII</t>
  </si>
  <si>
    <t>XXI</t>
  </si>
  <si>
    <t>UKUPNO</t>
  </si>
  <si>
    <t>PDV 25%</t>
  </si>
  <si>
    <t>m</t>
  </si>
  <si>
    <t>4.</t>
  </si>
  <si>
    <t>1.</t>
  </si>
  <si>
    <t>kompl</t>
  </si>
  <si>
    <t>1.5.</t>
  </si>
  <si>
    <t>2.5.</t>
  </si>
  <si>
    <t>2.6.</t>
  </si>
  <si>
    <t>2.7.</t>
  </si>
  <si>
    <t>3.</t>
  </si>
  <si>
    <t>3.3.</t>
  </si>
  <si>
    <t>3.5.</t>
  </si>
  <si>
    <t>3.6.</t>
  </si>
  <si>
    <t>3.7.</t>
  </si>
  <si>
    <t>5.</t>
  </si>
  <si>
    <t>2.</t>
  </si>
  <si>
    <t>Obračun po komadu.</t>
  </si>
  <si>
    <t>1.6.</t>
  </si>
  <si>
    <t>1.7.</t>
  </si>
  <si>
    <t>OPĆI UVJETI</t>
  </si>
  <si>
    <t>1.8.</t>
  </si>
  <si>
    <t>6.</t>
  </si>
  <si>
    <t>7.</t>
  </si>
  <si>
    <t>8.</t>
  </si>
  <si>
    <t>9.</t>
  </si>
  <si>
    <t>10.</t>
  </si>
  <si>
    <t>11.</t>
  </si>
  <si>
    <t>12.</t>
  </si>
  <si>
    <t>13.</t>
  </si>
  <si>
    <t>14.</t>
  </si>
  <si>
    <t>15.</t>
  </si>
  <si>
    <t>16.</t>
  </si>
  <si>
    <t>17.</t>
  </si>
  <si>
    <t xml:space="preserve">Provedba svih ispitivanja i dokazivanja kvalitete ugrađenih materijala koja su zakonski obvezna (potrebna za tehnički pregled) u obvezi su izvođača radova, te ih je ukoliko nisu specificirane u stavci ugovornog troškovnika potrebno uključiti u jedinične cijene. </t>
  </si>
  <si>
    <t>- Završno izvješće o kontroli kvalitete ugrađene betonske konstrukcije sukladne uvjetima kakvoće iz projekta konstrukcije</t>
  </si>
  <si>
    <t>- Ispitivanje VDP betona</t>
  </si>
  <si>
    <t>- Ispitivanja ugrađenog asfalta</t>
  </si>
  <si>
    <t>- Ispitivanje radnog okoliša (temperatura, relativna vlažnost i brzina strujanja zraka, osvijetljenost, buka i vibracije)</t>
  </si>
  <si>
    <t>- Ispitivanje unutarnjih i vanjskih instalacija odvodnje na vodonepropusnost i tečenje</t>
  </si>
  <si>
    <t>- Ispitivanje pumpi za prepumpavanje</t>
  </si>
  <si>
    <t>- Funkcionalno ispitivanje hidrostanice</t>
  </si>
  <si>
    <t>- Ispitivanje Qh linije vodovoda</t>
  </si>
  <si>
    <t>- Funkcionalno ispitivanje hidrantske mreže</t>
  </si>
  <si>
    <t>- Ispitivanje sprinkler sustava</t>
  </si>
  <si>
    <t>- Ispitivanje otvaranja segmentnih vrata</t>
  </si>
  <si>
    <t>- Ispitivanje protupožarnog brtvljenja</t>
  </si>
  <si>
    <t>- Ispitivanje prozora/kupola za odimljavanje</t>
  </si>
  <si>
    <t>- Ispitivanje CO detekcije i plinodojave</t>
  </si>
  <si>
    <t>- Ispitivanje plinodojave</t>
  </si>
  <si>
    <t>- Ispitivanje PP zaklopki</t>
  </si>
  <si>
    <t>- Ispitivanje zračne propusnosti</t>
  </si>
  <si>
    <t>- Fizikalno-kemijsko i mikrobiološko ispitivanje vode</t>
  </si>
  <si>
    <t xml:space="preserve">- Hladne i tople tlačne probe </t>
  </si>
  <si>
    <t>- Tople funkcionalne probe</t>
  </si>
  <si>
    <t>- Ispitivanje učinkovitosti ventilacije</t>
  </si>
  <si>
    <t>- Ispitivanje sustava grijanja i hlađenja</t>
  </si>
  <si>
    <t>- Provedba puštanja u pogon i probnog rada instalacija</t>
  </si>
  <si>
    <t>- Ispitivanje uređaja s povećanom opasnošću</t>
  </si>
  <si>
    <t>- Ispitivanje plinskih instalacija</t>
  </si>
  <si>
    <t>- Dimnjačarski nalaz</t>
  </si>
  <si>
    <t>- Ispitivanje lifta</t>
  </si>
  <si>
    <t>- Ispitivanje agregata</t>
  </si>
  <si>
    <t>- Ispitivanje instalacija slabe i jake struje</t>
  </si>
  <si>
    <t>- Ispitivanje osvijetljenosti</t>
  </si>
  <si>
    <t>- Ispitivanje otpora uzemljenja</t>
  </si>
  <si>
    <t>- Ispitivanje panic i sigurnosne rasvjete</t>
  </si>
  <si>
    <t>- Ispitivanje zaštite od indirektnog napona dodira</t>
  </si>
  <si>
    <t>- Ispitivanje vatrodojave</t>
  </si>
  <si>
    <t>- Ispitivanje tipkala za isključivanje struje (JPR)</t>
  </si>
  <si>
    <t>Dužnost je izvođača da utvrdi pravi sastav tla, odnosno njegovu kategoriju i ukoliko odstupa od Geotehničkog elaborata i/ili projekta konstrukcije, izvođač treba obavijestiti projektanta i nadzornog inženjera.</t>
  </si>
  <si>
    <t>RADOVI RUŠENJA I DEMONTAŽE</t>
  </si>
  <si>
    <t>Stavka uključuje održavanje visinskih točaka za vrijeme izvođenja radova, izvedbu nanosne skele te svih ostalih potrebnih elemenata za označavanje udaljenosti, visina, relativnih i apsolutnih kota i dr.</t>
  </si>
  <si>
    <t>Obračun po kompletno izvršenim geodetskim radovima.</t>
  </si>
  <si>
    <r>
      <rPr>
        <b/>
        <sz val="11"/>
        <rFont val="Calibri"/>
        <family val="2"/>
        <scheme val="minor"/>
      </rPr>
      <t>Doprema i osiguranje prostora za rad (kontejnera</t>
    </r>
    <r>
      <rPr>
        <sz val="11"/>
        <rFont val="Calibri"/>
        <family val="2"/>
        <scheme val="minor"/>
      </rPr>
      <t>) nadzornog inženjera i sastanke na gradilištu.</t>
    </r>
  </si>
  <si>
    <r>
      <rPr>
        <b/>
        <sz val="11"/>
        <rFont val="Calibri"/>
        <family val="2"/>
        <scheme val="minor"/>
      </rPr>
      <t>Izrada i montaža gradilišne ploče</t>
    </r>
    <r>
      <rPr>
        <sz val="11"/>
        <rFont val="Calibri"/>
        <family val="2"/>
        <scheme val="minor"/>
      </rPr>
      <t>, minimalnog formata A2, otporna na atmosferilije, osigurana od pada i oštećenja. Sadržaj teksta na ploči prema pravilniku.</t>
    </r>
  </si>
  <si>
    <r>
      <rPr>
        <b/>
        <sz val="11"/>
        <rFont val="Calibri"/>
        <family val="2"/>
        <scheme val="minor"/>
      </rPr>
      <t>Čišćenje objekta.</t>
    </r>
    <r>
      <rPr>
        <sz val="11"/>
        <rFont val="Calibri"/>
        <family val="2"/>
        <scheme val="minor"/>
      </rPr>
      <t xml:space="preserve">
Predviđeno je čišćenje objekta u 5 faza navedenih u podstavkama .
</t>
    </r>
  </si>
  <si>
    <t>Ova stavka obuhvaća rad na pažljivom ručnom iskopu probnih šliceva na prosječnom  razmaku od 50 m i na mjestima koja odredi nadzorni inženjer  radi utvrđivanja položaja (visinski i tlocrtno)  postojećih instalacija, do dužine iskopa od 1,5 m. Iskope ograditi po propisima ZNR.</t>
  </si>
  <si>
    <r>
      <rPr>
        <b/>
        <sz val="11"/>
        <rFont val="Calibri"/>
        <family val="2"/>
        <scheme val="minor"/>
      </rPr>
      <t>Izrada Projekta izvedenog stanja instalacija</t>
    </r>
    <r>
      <rPr>
        <sz val="11"/>
        <rFont val="Calibri"/>
        <family val="2"/>
        <scheme val="minor"/>
      </rPr>
      <t xml:space="preserve"> nakon završetka radova (M 1:100).</t>
    </r>
  </si>
  <si>
    <t>Obračun po m2 ortogonalne projekcije svih navedenih slojeva međukatne konstrukcije.</t>
  </si>
  <si>
    <t>Demontaža limarije</t>
  </si>
  <si>
    <t>a/ vertikalni žlijeb</t>
  </si>
  <si>
    <t>b/ horizontalni žlijeb</t>
  </si>
  <si>
    <t>Kod stavki razgradnje, usitnjavanje razgrađenog materijala je uključeno u jediničnu cijenu stavke - i onda kada to nije izričito navedeno u pojedinoj stavci.</t>
  </si>
  <si>
    <t>U cijeni je uključena razgradnja svih navedenih slojeva, sa ručnim utovarom materijala u vozilo i odvoz svog materijala na  gradsku deponiju kao i sve takse i pristojbe te ostala možebitna plaćanja koja uvjetuju propisi iz područja zbrinjavanja otpada. Deponiju osigurava izvođač.</t>
  </si>
  <si>
    <t>Obračun po m3 slojeva poda.</t>
  </si>
  <si>
    <t>Demontaža krovnih letvi</t>
  </si>
  <si>
    <t>Obračun po m2 krovne plohe.</t>
  </si>
  <si>
    <t>Prije početka radova na rušenju, demontaži i razgradnji izvođač je dužan pažljivo proučiti troškovnik i projekt u cjelini, te se prema potrebi (u slučaju nejasnoća) konzultirati s projektantom i nadležnom konzervatorskom službom što je predviđeno da se zadrži - kako se ne bi dogodilo da sruši, demontira, razgradi ili ošteti dio zgrade koji je nužno sačuvati (ili snimiti ili istražiti).</t>
  </si>
  <si>
    <t xml:space="preserve">Demontaža i skidanje postojećih gromobranskih traka na krovu i pročeljima objekta, uključivo s pripadajućim elementima i držačima. </t>
  </si>
  <si>
    <t>Demontaža drvenog grednika stropa</t>
  </si>
  <si>
    <t>Obračun po m3 srušenog materijala (bez dodataka za rastresitost).</t>
  </si>
  <si>
    <t>Rušenje dimnjaka</t>
  </si>
  <si>
    <t xml:space="preserve">Obračun po m3 srušenog materijala (bez dodataka za rastresitost). </t>
  </si>
  <si>
    <t>Rušenje postojećih AB nadvoja</t>
  </si>
  <si>
    <t>Štemanje I šlicanje zidova.</t>
  </si>
  <si>
    <t>Stavka se izvodi po prethodnom odobrenju nadzornog inženjera</t>
  </si>
  <si>
    <t>Obračun po m1 šlica, odnosno m3 oštemanog zida za izvedbu ojačanja.</t>
  </si>
  <si>
    <t>a/ šlicevi dimenzije 5x5 cm</t>
  </si>
  <si>
    <t>b/ šlicevi dimenzije 5x10 cm</t>
  </si>
  <si>
    <t>c/ oštemani zid</t>
  </si>
  <si>
    <t>Sitni građevinski radovi u tijeku rušenja, demontaže i pripreme građenja. Iskazuju se kao režijski sati.</t>
  </si>
  <si>
    <t>KV</t>
  </si>
  <si>
    <t>VKV</t>
  </si>
  <si>
    <t>Ploču je potrebno nabaviti prije početka kako bi bila spremna za postavu pri otvaranju gradilišta.</t>
  </si>
  <si>
    <t>Stavkom je obuhvaćena demontaža i odvoz postojeće sanitarne galanterije (wc školjke, umivaonici, police, ogledala, tuš).</t>
  </si>
  <si>
    <t xml:space="preserve"> a/ wc školjka s daskom i vodokotlićem</t>
  </si>
  <si>
    <t xml:space="preserve"> b/ pisoar</t>
  </si>
  <si>
    <t xml:space="preserve"> c/ umivaonici</t>
  </si>
  <si>
    <t xml:space="preserve"> d/ tuš kada</t>
  </si>
  <si>
    <t>Obračun po kompletno demontiranoj instalaciji.</t>
  </si>
  <si>
    <t xml:space="preserve">Potreban uvid na licu mjesta. </t>
  </si>
  <si>
    <t>Prije radova demontaže, potrebno je otpojiti instalaciju s mreže.</t>
  </si>
  <si>
    <t>Blindiranje postojećih instalacija na parceli u zoni obuhvata zahvata.</t>
  </si>
  <si>
    <t>Jediničnom cijenom obuhvaćeno izvođenje prekida svih postojećih priključaka na infrastrukturi u tlu (urtvljivanje, otpajanje, blindiranje), sve potrebne zaštite, rušenja i iskopi I sl.i.</t>
  </si>
  <si>
    <t>Demontaža postojećih instalacija vode I odvodnje (odnosi se na sve zgrade).</t>
  </si>
  <si>
    <t>RUŠENJA I DEMONTAŽE UKUPNO</t>
  </si>
  <si>
    <t>Iskopana zemlja se privremeno deponira na gradilištu u svrhu kasnijeg zatrpavanja  (obračunave se u posebnoj stavci).</t>
  </si>
  <si>
    <t>Iskopana zemlja se privremeno deponira na gradilištu u svrhu kasnijeg zatrpavanja  (obračunave se u posebnoj stavci). Vršiti pažljivo, kako ne bi došlo do oštećenja postojećih temelja ili urušavanja.</t>
  </si>
  <si>
    <t>Zasipavanje/ugradnja  tamponskog kamenog materijala</t>
  </si>
  <si>
    <t>Zasipavanje/ugradnja zemljanog materijala</t>
  </si>
  <si>
    <t xml:space="preserve">Humus se skida na površini širokog iskopa  u debljini sloja od 20 cm. </t>
  </si>
  <si>
    <t xml:space="preserve">Zasipavanje humusa </t>
  </si>
  <si>
    <t>Proizvodnja, ugradnja i kontrola kvalitete obavljati će se u skladu s Tehničkim popisom za građevinske konstrukcije – Dio drugi: “Posebna pravila za betonske konstrukcije” ( NN br. 17/17), HRN EN 206-1:2006* "Beton -1. dio: Specifikacije, svojstva, proizvodnja i sukladnost", (uključuje amandmane A1:2004 i A2:2005) (EN 206-1:2000+A1:2004+A2:2005) te HRN 1128:2007 Beton – Smjernice za primjenu norme HRN EN 206-1**. 
Trošak provođenja kontrole kvalitete je u jediničkoj cijeni.</t>
  </si>
  <si>
    <t xml:space="preserve"> Obračun po m3 betona, m2 oplate, komadu prodora.</t>
  </si>
  <si>
    <t>Izvedba podne AB ploče prizemlja</t>
  </si>
  <si>
    <t xml:space="preserve"> Obračun po m3 betona, m2 oplate.</t>
  </si>
  <si>
    <t>a/ beton</t>
  </si>
  <si>
    <t>b/ daščana jednostrana oplata</t>
  </si>
  <si>
    <t>Izvedba novih temelja</t>
  </si>
  <si>
    <t>a/ mršavi beton</t>
  </si>
  <si>
    <t>b/ beton</t>
  </si>
  <si>
    <t>c/ daščana dvostrana oplata</t>
  </si>
  <si>
    <t xml:space="preserve">Izvedba novog temelja stubišta </t>
  </si>
  <si>
    <t>b/ daščana dvostrana oplata</t>
  </si>
  <si>
    <t>b/ oplata</t>
  </si>
  <si>
    <t xml:space="preserve">a/ beton </t>
  </si>
  <si>
    <t>b/ jednostrana oplata</t>
  </si>
  <si>
    <t>U jediničnu cijenu uključeno je rabic pletivo za radne prekide ovisno o tehnologiji izvođenja.</t>
  </si>
  <si>
    <t xml:space="preserve">b/ jednostrana daščana oplata </t>
  </si>
  <si>
    <t>a/ beton stropne ploče d=22 cm</t>
  </si>
  <si>
    <t xml:space="preserve">Armiranobetonski zidovi izvode se u obostranoj glatkoj velikoplošnoj oplati ili sl., ovisno o tehnologiji izvođenja. </t>
  </si>
  <si>
    <t xml:space="preserve">c/ dvostrana glatka oplata </t>
  </si>
  <si>
    <t>c/ oplata</t>
  </si>
  <si>
    <t>b/ oplata s donje strane (izgubljena)</t>
  </si>
  <si>
    <r>
      <t xml:space="preserve">Dobava betona i izvedba </t>
    </r>
    <r>
      <rPr>
        <b/>
        <sz val="11"/>
        <rFont val="Calibri"/>
        <family val="2"/>
        <scheme val="minor"/>
      </rPr>
      <t>AB konstrukcija malog presjeka</t>
    </r>
    <r>
      <rPr>
        <sz val="11"/>
        <rFont val="Calibri"/>
        <family val="2"/>
        <scheme val="minor"/>
      </rPr>
      <t xml:space="preserve"> (nadvoji, serklaži, ojačanja, ležajevi, zapunjavanje praznina itd...)</t>
    </r>
  </si>
  <si>
    <t xml:space="preserve"> a/ beton</t>
  </si>
  <si>
    <t xml:space="preserve"> b/ oplata</t>
  </si>
  <si>
    <t>a/ beton stropne ploče</t>
  </si>
  <si>
    <t>Obračun po m3 betona koji se odstranjuje pri izvedbi prodora.</t>
  </si>
  <si>
    <t>b/ Ø 100-200 mm</t>
  </si>
  <si>
    <t>c/ pravokutni 300x500 mm - 550x900 mm</t>
  </si>
  <si>
    <t>U stavci je strojna ugradba betona, transport I nabava.</t>
  </si>
  <si>
    <t>Laka pokretna skela uračunata je u jediničnu cijenu, uključujući sve horizontalne i vertikalne transporte.  Prilikom zidanja ostaviti potrebne šliceve za prolaz instalacije, a prema projektu instalacija. Uključen sav potreban rad, materijal i pribor kao i laka pokretna skela.</t>
  </si>
  <si>
    <t xml:space="preserve">Prvi sloj gruba produžna vapneno cementna žbuka M-3 debljine 1,5-2 cm uz predhodni špric rijetkim cementnim mortom M-10. </t>
  </si>
  <si>
    <t>a/ zidovi</t>
  </si>
  <si>
    <t>Zidarska ugradnja raznih instalacionih ormarića u zidu od opeke, bez obzira na veličinu.</t>
  </si>
  <si>
    <t>Ugraditi cementnim mortom, M-10 i sidrima učvršćenim na ormariće. U jediničnu cijenu uključen sav potreban rad, materijal i pribor do pune funkcionalnosti.</t>
  </si>
  <si>
    <t>Gornja površina mora biti izvedena ravna i obrađena tako da se na nju može postaviti finalna podna obloga. Glazuru armirati sa armaturnom mrežom Q-188 ili polipropilenskim vlaknima što je sadržano u jediničnoj cijeni.</t>
  </si>
  <si>
    <t>U jediničnu cijenu uključen sav potreban rad, materijal i pribor do pune funkcionalnosti.</t>
  </si>
  <si>
    <t>Obračun po m2 ugrađenog materijala.</t>
  </si>
  <si>
    <t xml:space="preserve">Estrih treba biti dobro sabijen, ravna i horizontalne površine zbog kasnijeg polaganja završnih podova. Pri betoniranju paziti da se ne ošteti donji izolacioni sloj. U sanitarijama se podloga izvodi sa padovima prema sifonima. </t>
  </si>
  <si>
    <t xml:space="preserve"> a/ iskop strojni</t>
  </si>
  <si>
    <t xml:space="preserve"> b/ iskop ručni</t>
  </si>
  <si>
    <t xml:space="preserve">Ručni iskop uz postojeće temelje za izvedbu sloja mršavog betona za ojačanja temelja. </t>
  </si>
  <si>
    <t>Iskapa se potez širine 30cm i dubine 30 cm uz postojeće temeljne trake zidane opekom. Stavka obuhvaća iskop, prebacivanje/utovar i transport zemlje na privremenu deponiju gradilište. Vršiti pažljivo kako se ne bi oštetili postojeći temelji. U ovom rovu se izvodi sloj mršavog betona kao podloga za AB ojačanja postojećih temelja - izvedba mršavog betona je u zasebnoj stavci. Stijenke iskopa uredno izvesti kako bi se moglo betonirati.</t>
  </si>
  <si>
    <t xml:space="preserve">Dobava i ugradnja izravnavajućeg samonivelirajućeg premaza. Čvrsta, brzostvrdnjavajuća, izravnavajuća cementna masa. Služi za poravnavanje, popravljanje i ispunjavanje rupa i dubokih neravnina u estrisima, kao i za niveliranje stepenica i podesta do 50-100 mm debljine. </t>
  </si>
  <si>
    <t>Potrebno je odstraniti oštećene dijelove zidova, otprašiti i isprati spojne dijelove, te ponovno izvesti istu strukturu zida. Izvodi se prije premaza.</t>
  </si>
  <si>
    <t>Obračun po m2 izvedenog premaza.</t>
  </si>
  <si>
    <t>Izvedba premaza za sanaciju plijesni vanjskih zidova u tlu u donjem dijelu zidova. Premaz se izvodi u jednom sloju d= 0,1 cm.</t>
  </si>
  <si>
    <t>Obračun po m2 izvedene žbuke.</t>
  </si>
  <si>
    <t>Dobava i postava pocinčanog "Rabic" pletiva debljine 1 mm prije žbukanja zidova na pozicijama gdje je potrebno dodatno ojačanje. U cijenu uključiti i sidrenje pletiva u sljubnice.</t>
  </si>
  <si>
    <t>Sustav zaštite od korozije (vrsta i debljina premaza) mora odgovarati razredu izloženosti definiranim u projektnoj dokumentaciji glavnog projekta. U svemu prema preporuci proizvođača odabranog sustava zaštite od korozije.</t>
  </si>
  <si>
    <t>U cijenu stavke uključeno je: dobava materijala,  izrada elemenata čel. konstr. u radionici,   transport na gradilište i montaža, AKZ sa svim potrebnim predradnjama, sav potreban rad materijal i pribor, svi potrebni spojni elementi, uključivo potrebni alati, skele i dizalice, sve do pune gotovosti.</t>
  </si>
  <si>
    <t>Čelične konstrukcije izrađuju se u radionici na osnovu radioničke dokumentacije, statičkog proračuna i tehnološkog projekta izvođača.</t>
  </si>
  <si>
    <t xml:space="preserve">Spajanje elemenata čelične konstrukcije vrši se vijčanim spojevima ili zavarivanjem, može biti konstrukcija kao upeti elementi, sve prema projektu konstrukcije i arhitektonskom projektu. Spojevi uvjetovani odabranom tehnikom i načinom montaže nisu definirani, predmet su radioničke dokumentacije. Definirani su spojevi koji imaju dodatne zahtjeve statičkih prijenosa sila ili spojevi čelične konstrukcije na betonsku konstrukciju. </t>
  </si>
  <si>
    <t>Potrebno je ostaviti mogućnost izvođenja ovisno o radionici i uvjetima transporta i montaže da se elementi čelične konstrukcije izvedu u vidu radioničkih sklopova (više elemenata radionički spojeno zajedno - u pravilu zavarivanjem) te montaža takvih sklopova.</t>
  </si>
  <si>
    <t xml:space="preserve">Montaža čelične konstrukcije provodi se na osnovu montažnog projekta i tehnološkog projekta montaže kojeg daje izvođač. </t>
  </si>
  <si>
    <t>Izvođač je dužan provoditi kontrolu izrade i montaže prema tehničkim propisima i normama, te voditi propisanu evidenciju toka radova  u skladu s važećim propisima.</t>
  </si>
  <si>
    <t>Izvođač montaže dužan je radove provoditi u skladu s važećim standardima i propisima.</t>
  </si>
  <si>
    <t>Za sve eventualne izmjene ili ispravke  u radioničko-montažnoj dokumentaciji potrebna je suglasnost projektanta, statičara i nadzornog inženjera.</t>
  </si>
  <si>
    <t>Nakon izvršenih radova montaže čelične konstrukcije potrebno je konstrukciju očistiti i popraviti oštećenja na osnovnoj antikorozivnoj zaštiti.</t>
  </si>
  <si>
    <t xml:space="preserve">Dio čeličnih konstrukcija se protupožarno štiti premazima kako bi se postigla projektom propisana požarna otpornost nosive konstrukcije. Požarna otpornost konstrukcije je propisana Prikazom mjera zaštite od požara.
</t>
  </si>
  <si>
    <t>Detalje u radioničkoj dokumentaciji oblikovati na način da su otporni na koroziju.</t>
  </si>
  <si>
    <t>Kvaliteta čelika, način izvedbe pripreme površine, trajnost sustava, kategorija atmosferske korozivnosti, otpornost na koroziju, klasa izvođenja i sustavi premaza definirani su glavnim projektom.</t>
  </si>
  <si>
    <t>Prije izrade radioničke dokumentacije potrebno je izvršiti izmjeru u naravi  dijela građevine na kojem se montira čelična konstrukcija.</t>
  </si>
  <si>
    <t>U jediničnoj cijeni obuhvaćen je sav rad,  materijal (dobava I transport), antikorozivna zaštita, te sav spojni materijal I radna skela.</t>
  </si>
  <si>
    <t>Radove izvesti u svemu prema naputku proizvođača, u radionici, u kontroliranim uvjetima.</t>
  </si>
  <si>
    <t>Obračun je po kg čeličnih nosača koje treba protupožarno premazati.</t>
  </si>
  <si>
    <t xml:space="preserve">Ljestve se ugrađuju prema projektu pod kontrolom nadzornog inženjera. Nadzorni inženjer kontrolira sukladnost s projektom, geometrijsku točnost i samu kvalitetu montaže. </t>
  </si>
  <si>
    <t>Ljestve će biti kruto vezane sa građevinom ili konstrukcijom u razmacima ne većim od 3,0 m. Ljestve će biti postavljene na zidu, paralelno sa zidom, a od površine zida odnosno  će biti udaljene najmanje 16 cm.</t>
  </si>
  <si>
    <t>Dobava I ugradnja čeličnih profila na koje se postavlja dizalice topline.</t>
  </si>
  <si>
    <t>Obračun po kg ugrađenog čeličnog profila.</t>
  </si>
  <si>
    <t>U jediničnu cijenu uključen kompletan rad, sav materijal, ličenje I radionički nacrt.</t>
  </si>
  <si>
    <t>Radioničku dokumentaciju, prije izvedbe čelične konstrukcije,  potrebno je dostaviti  statičaru i projektantu arhitekture - obuhvaćeno u zasebnoj stavci.</t>
  </si>
  <si>
    <t>ČELIČNE KONSTRUKCIJE UKUPNO</t>
  </si>
  <si>
    <t>ČELIČNE KONSTRUKCIJE</t>
  </si>
  <si>
    <t>a/ mreže</t>
  </si>
  <si>
    <t>b/ šipke</t>
  </si>
  <si>
    <t xml:space="preserve">Strojni  široki iskop za izvedbu temeljne ploče. </t>
  </si>
  <si>
    <t>Iskop, ručni transport i utovar i odvoz na trajnu deponiju</t>
  </si>
  <si>
    <t>dobava i ugradnja šljunka (mineralne sirovine)</t>
  </si>
  <si>
    <t>Cementna stabilizacija</t>
  </si>
  <si>
    <t>Dobava i polaganje geotekstila</t>
  </si>
  <si>
    <t xml:space="preserve">Stavka obuhvaća dobavu, nasipavanje, razastiranje, grubo planiranje i valjanje/nabijanje.  </t>
  </si>
  <si>
    <t>Dobava i ugradnja izravnavajućeg samonivelirajućeg premaza. Čvrsta, brzostvrdnjavajuća, izravnavajuća cementna masa. Služi za poravnavanje, popravljanje i ispunjavanje rupa i dubokih neravnina u izvedenim AB pločama do 5-30 mm debljine. Nanositi u slojevima max debljine prema uputi proizvođača (izvodi se u podrumu, projektorskoj kabini i južnom krilu prizemlja)</t>
  </si>
  <si>
    <t>Obračun po m1.</t>
  </si>
  <si>
    <t xml:space="preserve">Po definiranju uvjeta transporta i montaže izvođač treba izraditi radioničku dokumentaciju čelične konstrukcije, koja se dostavlja projektantu na uvid i suglasnost da je ista izrađena u skladu s projektom.  Radionička dokumentacija mora bitI ovjerena od strane ovlaštenog inženjera angažiranog od strane izvođača.
</t>
  </si>
  <si>
    <t>Istu je potrebno izraditi u svemu prema statičkom proračunu i nacrtima, te u dogovoru s projektantom arhitekture i konstrukcije.</t>
  </si>
  <si>
    <t>Prije izrade radioničke dokumentacije potrebno je izvršiti izmjeru u naravi izvedenog dijela građevine  na koju se montira čelična konstrukcija.</t>
  </si>
  <si>
    <t>Na temelju odabrane tehnologije izvedbe i  montaže koji ovise o tehničkim i logističkim mogućnostima odabranog izvođača, potrebno je predložiti način izvedbe spojeva, te po definiranju istih potrebno je provesti proračun spojeva, što uključuje i eventualne montažne spojeve. Posebnu pozornost potrebno je obratiti i na priključne elemente na ab konstrukciju, koji trebaju biti defnirani prije izvedbe ab konstrukcije (potrebna pravovremena koordinacija s izvođačem konstrukcije).</t>
  </si>
  <si>
    <t xml:space="preserve">Radioničku dokumentaciju ovjerava ovlašteni projektant (ovlašteni inženjer građevinarstva) angažiran od strane izvođača, a istu dostavlja projektantu konstrukcije na pregled i suglasnost da je ista izrađena u skladu sa zahtjevima iz glavnog projekta. Radioničkom dokumentacijom je potrebno definirati detalje za izvedbu, koji se mogu prilagoditi tehnološkim zahtjevima izvođača s obzirom na transport i montažu. Po definiranju konačnih izmjera svih elemenata potrebno je provesti proračun spojeva. </t>
  </si>
  <si>
    <t>Sastavni dio radioničke dokumentacije i detaljni iskaz količina materijala.</t>
  </si>
  <si>
    <t>Obračun po kompletno izrađenoj ovjerenoj radioničkoj dokumentaciji.</t>
  </si>
  <si>
    <t>Izrada radioničke dokumentacije (razina razrade: izvedbeni projekt) čeličnih konstrukcija .</t>
  </si>
  <si>
    <t>a/ primarna nosiva konstrukcija stubišta</t>
  </si>
  <si>
    <t>b/ sekundarna potkonstr. iz profila 40/40</t>
  </si>
  <si>
    <t xml:space="preserve">Ukoliko nije drugačije navedeno sve stavke uključuju i antikorozivnu zaštitu čelične konstrukcije.  Uključuje svu opremu rad i materijal potreban za odmašćivanje i čišćenje konstrukcije do stupnja čistoće propisanog projektom, izvedbu antikorozivnog premaza ili vrućeg cinčanja - ovisno o stavrci. </t>
  </si>
  <si>
    <t>OPĆI UVJETI:</t>
  </si>
  <si>
    <t>Izvođač radova mora se prilikom izvedbe zidarskih radova pridržavati svih uvjeta i opisa projektne dokumentacije kao i važećih propisa, a posebno Tehničkog propisa za građevinske konstrukcije (NN 17/17, 75/20, 7/22).</t>
  </si>
  <si>
    <t>U cijenu je uključen sav potreban rad, skele i potreban pribor.</t>
  </si>
  <si>
    <t>a/ Radna širina špaleta do 20 cm.</t>
  </si>
  <si>
    <t>b/ Radna širina špaleta do 40 cm.</t>
  </si>
  <si>
    <t>c/ Radna širina špaleta do 50 cm.</t>
  </si>
  <si>
    <r>
      <rPr>
        <b/>
        <sz val="11"/>
        <rFont val="Calibri"/>
        <family val="2"/>
        <scheme val="minor"/>
      </rPr>
      <t>Zidarska obrada špaleta</t>
    </r>
    <r>
      <rPr>
        <sz val="11"/>
        <rFont val="Calibri"/>
        <family val="2"/>
        <scheme val="minor"/>
      </rPr>
      <t xml:space="preserve"> nakon ugradnje stolarije I bravarije. Radna širina špaleta do 20 cm.</t>
    </r>
  </si>
  <si>
    <r>
      <rPr>
        <b/>
        <sz val="11"/>
        <rFont val="Calibri"/>
        <family val="2"/>
        <scheme val="minor"/>
      </rPr>
      <t xml:space="preserve">Zidarsko zatvaranje proboja zidova </t>
    </r>
    <r>
      <rPr>
        <sz val="11"/>
        <rFont val="Calibri"/>
        <family val="2"/>
        <scheme val="minor"/>
      </rPr>
      <t>d=20 cm za instalacije struje, vik i strojarstva. 
Uključen sav materijal  i rad.</t>
    </r>
  </si>
  <si>
    <r>
      <rPr>
        <b/>
        <sz val="11"/>
        <rFont val="Calibri"/>
        <family val="2"/>
        <scheme val="minor"/>
      </rPr>
      <t>Zidarska izrada i krpanje šliceva</t>
    </r>
    <r>
      <rPr>
        <sz val="11"/>
        <rFont val="Calibri"/>
        <family val="2"/>
        <scheme val="minor"/>
      </rPr>
      <t xml:space="preserve"> pri izvedbi instalacija ViK i elektroinstalacija. U jediničnu cijenu uključen sav materijal  i rad.</t>
    </r>
  </si>
  <si>
    <r>
      <t xml:space="preserve">Zidarska pripomoć pri </t>
    </r>
    <r>
      <rPr>
        <b/>
        <sz val="11"/>
        <rFont val="Calibri"/>
        <family val="2"/>
        <scheme val="minor"/>
      </rPr>
      <t>ugradnja raznih instalacijskih ormarića</t>
    </r>
    <r>
      <rPr>
        <sz val="11"/>
        <rFont val="Calibri"/>
        <family val="2"/>
        <scheme val="minor"/>
      </rPr>
      <t xml:space="preserve"> u zidu od betona, bez obzira na veličinu. Ugraditi cementnim mortom, M-10 i sidrima učvršćenim na ormariće. Kompletan rad i materijal. 
</t>
    </r>
  </si>
  <si>
    <r>
      <t xml:space="preserve">Dobava, nabava i ugradnja smjese za </t>
    </r>
    <r>
      <rPr>
        <b/>
        <sz val="11"/>
        <rFont val="Calibri"/>
        <family val="2"/>
        <scheme val="minor"/>
      </rPr>
      <t>protupožarno brtvljenje instalacija</t>
    </r>
    <r>
      <rPr>
        <sz val="11"/>
        <rFont val="Calibri"/>
        <family val="2"/>
        <scheme val="minor"/>
      </rPr>
      <t xml:space="preserve"> na granicama požarnih odjeljka požarne otpotnosti </t>
    </r>
    <r>
      <rPr>
        <b/>
        <sz val="11"/>
        <rFont val="Calibri"/>
        <family val="2"/>
        <scheme val="minor"/>
      </rPr>
      <t>EI 60</t>
    </r>
    <r>
      <rPr>
        <sz val="11"/>
        <rFont val="Calibri"/>
        <family val="2"/>
        <scheme val="minor"/>
      </rPr>
      <t xml:space="preserve">. </t>
    </r>
  </si>
  <si>
    <r>
      <rPr>
        <b/>
        <sz val="11"/>
        <rFont val="Calibri"/>
        <family val="2"/>
        <scheme val="minor"/>
      </rPr>
      <t>Zidarska pripomoć</t>
    </r>
    <r>
      <rPr>
        <sz val="11"/>
        <rFont val="Calibri"/>
        <family val="2"/>
        <scheme val="minor"/>
      </rPr>
      <t xml:space="preserve"> pri izvedbi raznih nespecificiranih zidarskih radova.</t>
    </r>
  </si>
  <si>
    <r>
      <t xml:space="preserve">Dobava, nabava i </t>
    </r>
    <r>
      <rPr>
        <b/>
        <sz val="11"/>
        <rFont val="Calibri"/>
        <family val="2"/>
        <scheme val="minor"/>
      </rPr>
      <t>izvedba morta visoke čvrstoće i sitne granulacije za podlijevanje</t>
    </r>
    <r>
      <rPr>
        <sz val="11"/>
        <rFont val="Calibri"/>
        <family val="2"/>
        <scheme val="minor"/>
      </rPr>
      <t xml:space="preserve"> betonskih površina debljine do 50mm.</t>
    </r>
  </si>
  <si>
    <r>
      <t>Dobava, nabava i ugradnja</t>
    </r>
    <r>
      <rPr>
        <b/>
        <sz val="11"/>
        <rFont val="Calibri"/>
        <family val="2"/>
        <scheme val="minor"/>
      </rPr>
      <t xml:space="preserve"> podnog  dilatacijskog "L" profila</t>
    </r>
    <r>
      <rPr>
        <sz val="11"/>
        <rFont val="Calibri"/>
        <family val="2"/>
        <scheme val="minor"/>
      </rPr>
      <t xml:space="preserve"> (praga) na mjestima spoja podnih obloga od različitih materijala. Profil je iz mesinga debljine min3mm, visine prema visini završne podne obloge (min. 40x40 mm), učvršćen za podlogu navarenim sidrima. Profil ne smije viriti iz podne obloge.</t>
    </r>
  </si>
  <si>
    <t xml:space="preserve">Hidroizolacija se izvodi sa polimerbitumenskim hidroizolacijskim trakama na hladnom bitumenskom premazu. </t>
  </si>
  <si>
    <t>U jediničnoj cijeni stavke, osim same izvedbe hidroizolacije i zaštite geotekstilom (ukoliko je potrebna) obuhvaćeni su i svi radovi do pune gotovosti prema uputama tehničkog lista proizvođača sustava (prethodna priprema površine, obrada prodora, montaža i spajanje na završetke od mehanički fiksiranih profila, izvedbe holker spoja, korištenje pomoćnih kompatibilnih proizvoda u sustavu proizvođača kao što su prethodni premazi podloge, trake i ljepila za brtvljene spojeva, mehanička učvrščivanja spojeva itd...).</t>
  </si>
  <si>
    <t>Obračun po m2 razvijene površine izvedene hidroizolacije (stvarno izolirane površine).</t>
  </si>
  <si>
    <t xml:space="preserve"> U jediničnu cijenu uključen kompletan rad, materijal i pribor. Obračun po m2 položenih ploča.</t>
  </si>
  <si>
    <t>Obračun po m2 razvijene površine izvedene folije.</t>
  </si>
  <si>
    <r>
      <t xml:space="preserve">Dobava, nabava i ugradnja - izvedba zaštite vertikalne hidroizolacije ukopanih zidova  građevine </t>
    </r>
    <r>
      <rPr>
        <b/>
        <sz val="11"/>
        <rFont val="Calibri"/>
        <family val="2"/>
        <scheme val="minor"/>
      </rPr>
      <t>PEHD</t>
    </r>
    <r>
      <rPr>
        <sz val="11"/>
        <rFont val="Calibri"/>
        <family val="2"/>
        <scheme val="minor"/>
      </rPr>
      <t xml:space="preserve"> </t>
    </r>
    <r>
      <rPr>
        <b/>
        <sz val="11"/>
        <rFont val="Calibri"/>
        <family val="2"/>
        <scheme val="minor"/>
      </rPr>
      <t xml:space="preserve">čepastom folijom, </t>
    </r>
    <r>
      <rPr>
        <sz val="11"/>
        <rFont val="Calibri"/>
        <family val="2"/>
        <scheme val="minor"/>
      </rPr>
      <t>d=0,06 cm visine čepića 1cm (-10 / + 10 %). Postavlja s čepićima okrenutim prema dolje.</t>
    </r>
  </si>
  <si>
    <t>Obračun po m2 razvijene površine izvedene izolacije.</t>
  </si>
  <si>
    <t>Sve prema uputama proizvođača odabranog materijala.</t>
  </si>
  <si>
    <t>U jediničnu cijenu uključen kompletan rad, materijal i pribor. Obračun po m2 položene vune.</t>
  </si>
  <si>
    <t>Obračun po m2 izolirane površine.</t>
  </si>
  <si>
    <t>Dobava i polaganje hidroizolacije ispod  limenih opšava na krovu i sličnim mjestima predviđenim projektom. Preklopi minimalno 10 cm ljepljeni resitolom. U cijenu uključen kompletan rad, materijal i pribor.</t>
  </si>
  <si>
    <t>Obračun po m1 izolirane površine.</t>
  </si>
  <si>
    <t>Dobava materijala i izvedba hidroizolacije prodora u krovnim plohama (ventilacijski prodori i sl.).</t>
  </si>
  <si>
    <t xml:space="preserve">Hidroizolacijski premaz minimalnih tehničkih karakteristika: </t>
  </si>
  <si>
    <t>proizvod na bazi akrilne smole u vodenoj emulziji, za vodonepropusnu zaštitu ravnih i kosih površina kao što su krovovi, dimnjaci, oluci, balkoni i sl. Stvaranje vodonepropusnosti površina (koje se mogu pregledavati ili na kojima se povremeno hoda) od različitog materijala: PVC, poliester, fibrocement, katranske površine, opeke, beton, drvo.</t>
  </si>
  <si>
    <t xml:space="preserve">Hidroizolaciju prodora potrebno je u svemu izvesti prema uputama proizvođača sa preklopima minimalno 15 cm sa slojevima hidroizolacije u krovnim plohama. </t>
  </si>
  <si>
    <t>U cijenu uključen kompletan rad, materijal i pribor.</t>
  </si>
  <si>
    <t>Postava prema uputama proizvođača odabrane hidroizolacije. U jediničnu cijenu uključen sav rad materijal i pribor do pune spremnosti.</t>
  </si>
  <si>
    <t>Dobava, nabava materijala i postava razdjelnog sloja PES filca - geotekstil 300 g/m2 , razdjelnog u okolišu.</t>
  </si>
  <si>
    <t>SUHOMONTAŽNI RADOVI</t>
  </si>
  <si>
    <t>SUHOMONTAŽNI RADOVI UKUPNO</t>
  </si>
  <si>
    <t>Za sve pregradne stijene i obloge prije ugradnje potrebno je dostaviti atestnu dokumentaciju kojom se dokazuje zadovaljavanje parametara određenih projektom fizike zgrade (toplina, zvuk)  i mjerama zaštite od požara (reakcija na požar I otpornost na požar).</t>
  </si>
  <si>
    <t>Pregrade se izvode u visini navedenoj u opisu pojedine stavke.</t>
  </si>
  <si>
    <t xml:space="preserve">ZVUČNA IZOLACIJA stijene minimalno 44 dB (A) – prema specifikacijama proizvođača. </t>
  </si>
  <si>
    <t>Jedinična cijena stavke obuhvaća dobavu i montažu tipske metalne podkonstrukcije, montažu ravnih gipsanih ploča, ugradnju potrebnih ojačanja i obrade oko elemenata koji se ugrađuju u pregradnoj stijeni, te mineralnu vunu.</t>
  </si>
  <si>
    <t>Dobava materijala, izrada i postava tipskih PP pregradnih stijena EI60,  debljine d=15 cm</t>
  </si>
  <si>
    <r>
      <rPr>
        <b/>
        <sz val="11"/>
        <rFont val="Calibri"/>
        <family val="2"/>
        <scheme val="minor"/>
      </rPr>
      <t>Dobava materijala, izrada i postava tipskih pregradnih stijena, ukupne debljine d=20 cm</t>
    </r>
    <r>
      <rPr>
        <sz val="11"/>
        <rFont val="Calibri"/>
        <family val="2"/>
        <scheme val="minor"/>
      </rPr>
      <t>, iz dvostrukih gipskartonskih ploča, obostrano, na dvostrukoj tipskoj metalnoj podkonstrukciji.</t>
    </r>
  </si>
  <si>
    <r>
      <rPr>
        <b/>
        <sz val="11"/>
        <rFont val="Calibri"/>
        <family val="2"/>
        <scheme val="minor"/>
      </rPr>
      <t>Dobava materijala, izrada i postava tipskih pregradnih stijena, ukupne debljine d=7,5 cm</t>
    </r>
    <r>
      <rPr>
        <sz val="11"/>
        <rFont val="Calibri"/>
        <family val="2"/>
        <scheme val="minor"/>
      </rPr>
      <t>, iz dvostrukih gipskartonskih ploča, jednostrano, na jednostrukoj tipskoj metalnoj podkonstrukciji.</t>
    </r>
  </si>
  <si>
    <r>
      <rPr>
        <b/>
        <sz val="11"/>
        <rFont val="Calibri"/>
        <family val="2"/>
        <scheme val="minor"/>
      </rPr>
      <t>Dobava materijala, izrada i postava tipskih pregradnih stijena - obloga instalacijskih šahtova, ukupne debljine d=7,5 cm</t>
    </r>
    <r>
      <rPr>
        <sz val="11"/>
        <rFont val="Calibri"/>
        <family val="2"/>
        <scheme val="minor"/>
      </rPr>
      <t>, iz dvostrukih gipskartonskih ploča, jednostrano, na jednostrukoj tipskoj metalnoj podkonstrukciji.</t>
    </r>
  </si>
  <si>
    <t>Jedinična cijena stavke obuhvaća dobavu i montažu tipske metalne podkonstrukcije, montažu ravnih gipsanih ploča, ugradnju potrebnih ojačanja i obrade oko elemenata koji se ugrađuju u pregradnoj stijeni.</t>
  </si>
  <si>
    <r>
      <rPr>
        <b/>
        <sz val="11"/>
        <rFont val="Calibri"/>
        <family val="2"/>
        <scheme val="minor"/>
      </rPr>
      <t>Dobava materijala, izrada i postava tipskih  obloga, ukupne debljine d=7,5 cm</t>
    </r>
    <r>
      <rPr>
        <sz val="11"/>
        <rFont val="Calibri"/>
        <family val="2"/>
        <scheme val="minor"/>
      </rPr>
      <t>, iz dvostrukih gipskartonskih ploča,  na  tipskoj metalnoj podkonstrukciji.</t>
    </r>
  </si>
  <si>
    <r>
      <rPr>
        <b/>
        <sz val="11"/>
        <rFont val="Calibri"/>
        <family val="2"/>
        <scheme val="minor"/>
      </rPr>
      <t>Dobava materijala, izrada i postava protupožarne EI60 tipske pregradne stijene (obloge šahte) , ukupne debljine d=13 cm</t>
    </r>
    <r>
      <rPr>
        <sz val="11"/>
        <rFont val="Calibri"/>
        <family val="2"/>
        <scheme val="minor"/>
      </rPr>
      <t>, iz dvostrukih protupožarnih ploča, jednostrano, na jednostrukoj tipskoj metalnoj podkonstrukciji.</t>
    </r>
  </si>
  <si>
    <t>a/ umivaonik</t>
  </si>
  <si>
    <t>b/pisoar</t>
  </si>
  <si>
    <t>d/ trokadero</t>
  </si>
  <si>
    <r>
      <rPr>
        <b/>
        <sz val="11"/>
        <rFont val="Calibri"/>
        <family val="2"/>
        <scheme val="minor"/>
      </rPr>
      <t>Dobava, nabava i ugradnja revizijskog otvora, u ravnini s plohom zida, u pregradnom GK zid</t>
    </r>
    <r>
      <rPr>
        <sz val="11"/>
        <rFont val="Calibri"/>
        <family val="2"/>
        <scheme val="minor"/>
      </rPr>
      <t>u. Dimenzije revizije 30×30 cm, revizije imaju nevidljiv zatvarački mehanizam, eloksirani aluminijski okvir s ugrađenom gipskartonskom pločom (1000 kg/m3; klase gorivosti A2-s1, d=0, s poboljšanom zvučnom izolacijom), te sigurnosna kopča za sprječavanje naglog otvaranja. Pri ugradnji držati se smjernica i uputa proizvođača.</t>
    </r>
  </si>
  <si>
    <t>a/ revizija 30 x 30 cm</t>
  </si>
  <si>
    <t>b/ revizija 40 x 40 cm</t>
  </si>
  <si>
    <t>c/ revizija 60 x 60 cm</t>
  </si>
  <si>
    <t xml:space="preserve">Dobava materijala, izrada i postava zidne obloge, visine do 1,2 m, s predzidnom instalacijom /obloga ugradbenih vodokotlića u sanitarijama iz dvostrukih gipskartonskih ploča d=1,25 cm, tako da je debljina obloge 2,5 cm, na tipskoj metalnoj potkonstrukciji d=25 cm, a što je uključeno u jediničnu cijenu. Vanjska GK ploča vlagootporna. </t>
  </si>
  <si>
    <t>a/ vrata š= 80 cm</t>
  </si>
  <si>
    <t>Točna visina ovješenja prema projektu (nacrtima spuštenog stropa). Provjeriti sa izvođačem elektroinstalacija visinu potrebnu za ugrađivanje rasvjetnih tijela.</t>
  </si>
  <si>
    <t>Izvesti prema nacrtima u originalnoj  potkonstrukciji. Stavkom obuhvaćen sav rad, materijal, bandažiranje spojeva, kitanje, postava svih potrebnih rubnih profila i sl. do potpune gotovosti.</t>
  </si>
  <si>
    <t>b/ revizijski poklopci 60x60 cm</t>
  </si>
  <si>
    <t xml:space="preserve">Dobava, nabava materijala i postava polimercementne hidroizolacije u vlažnim prostorijama (pod i zid). </t>
  </si>
  <si>
    <t>Izvedba hidroizolacijskog sustava jednokomponentnom, izrazito brzosušećom, fleksibilnom tekućom hidroizolacijom za unutarnje i vanjske površine, primjena valjkom. Izvedba u dva sloja ukupne potrošnje od 0,8-1 kg/m².</t>
  </si>
  <si>
    <t xml:space="preserve">Podloga mora biti potpuno sazrela, čvrsta, čista, suha i bez ostataka ulja, masti, cementne skramice, starih boja i drugih nečistoća. Beton
i podloge na bazi cementa moraju biti
stabilne i suhe, bez kapilarnog uzdizanja
vlage. </t>
  </si>
  <si>
    <t>Tip hidroizolacijskog premaza  visoko elastični cementni mort, d=2-4mm, minimalnih tehničkih karakteristika:</t>
  </si>
  <si>
    <t xml:space="preserve">dvokomponentni vlaknima ojačan mort, sa vrlo niskim modulom elastičnosti, na bazi cementa sa alkalno otpornim polimerima, i sadržajem finih čestica agregata i odgovarajućih aditiva za hidroizolaciju i zaštitu betonskih površina izloženih savojnim naprezanjima, pogodan za primjenu u vlažnim uvjetima i kod niže temperature zraka. </t>
  </si>
  <si>
    <t>TESARSKI RADOVI</t>
  </si>
  <si>
    <t>TESARSKI RADOVI UKUPNO:</t>
  </si>
  <si>
    <t>Izvoditi sukladno  tehničkom listu odabranog dobavljača sustava.</t>
  </si>
  <si>
    <t>U jediničnoj cijeni stavke obuhvaćeni su svi radovi do pune gotovosti prema uputama tehničkog lista proizvođača sustava (prethodna priprema površine, obrada prodora, montaža i spajanje na završetke od mehanički fiksiranih profila, korištenje pomoćnih kompatibilnih proizvoda u sustavu proizvođača kao što su prethodni premazi podloge, trake i ljepila za brtvljene spojeva, mehanička učvrščivanja spojeva itd...).</t>
  </si>
  <si>
    <r>
      <t xml:space="preserve">Dobava i izvedba </t>
    </r>
    <r>
      <rPr>
        <b/>
        <sz val="11"/>
        <rFont val="Calibri"/>
        <family val="2"/>
        <scheme val="minor"/>
      </rPr>
      <t>hidroizolacije krova</t>
    </r>
    <r>
      <rPr>
        <sz val="11"/>
        <rFont val="Calibri"/>
        <family val="2"/>
        <scheme val="minor"/>
      </rPr>
      <t>.</t>
    </r>
  </si>
  <si>
    <t>Izvoditi sukladno projektu konstrukcije.</t>
  </si>
  <si>
    <t>Jediničnom cijenom obračunat sav materijal i dobava istog, rad i svi spojni elementi.</t>
  </si>
  <si>
    <t xml:space="preserve">Daskanje drvene krovne konstrukcije krova  drvenim daskama debljine 2,4cm. </t>
  </si>
  <si>
    <t xml:space="preserve">Daskanje drvene krovne konstrukcije krova  OSB pločama debljine 2 cm. </t>
  </si>
  <si>
    <t>Podne pločice unutarnje</t>
  </si>
  <si>
    <t xml:space="preserve">Izbor pločica prema dostavljenim uzorcima, neutralne boje, prema projektu interijera. Ton mase za fugiranje odrediti prema tonu pločica. Širina reški je max 3 mm. Cijenom obuhvatiti proizvođača cjenovno srednje tržišne klase. Okvirna boja i način polaganja prema projektu interijera. U svim prostorijama gdje su ugrađeni  sifoni, pod se izvodi u padu prema sifonu. </t>
  </si>
  <si>
    <t xml:space="preserve">Dobava, nabava i postava velikoformatnih keramičkih podnih gres pločica, ljepljenjem na predhodno pripremljenu podlogu što je uključeno u jediničnu cijenu. </t>
  </si>
  <si>
    <t>KAMENARSKI RADOVI UKUPNO</t>
  </si>
  <si>
    <t>KAMENARSKI RADOVI</t>
  </si>
  <si>
    <t xml:space="preserve">Narudžbu i rezanje kamenih ploča kontrolirati prema shemama i izmjeri u naravi. </t>
  </si>
  <si>
    <t xml:space="preserve">U vanjskim prostorima predviđeno je radi protukliznosti ugraditi ploče pjeskarenog, četkanog  ili paljenog kamena - antik obrada. </t>
  </si>
  <si>
    <t xml:space="preserve">Rad mora biti izveden solidno i precizno, od kvalitetnog materijala, u svemu prema opisu iz troškovnika i detaljnim nacrtima, te uputama projektanta i pravilima zanata, tako da su u cijelosti zadovoljeni tekući tehnički propisi. </t>
  </si>
  <si>
    <t>Prije nabave materijala izvođač je dužan zatražiti sve potrebne upute u pogledu eventualnih korekcija detalja ili promjena. U protivnom, eventualna šteta usljed neadekvatnog materijala tereti izvođača.</t>
  </si>
  <si>
    <t>Izvođač je dužan prije početka radova pregledati podlogu i upozoriti na eventualne manjkavosti, kako bi se iste mogle na vrijeme ukloniti. Ukoliko tako ne učini, svi nedostatci u izvedbi s naslova loše podloge terete izvođača.</t>
  </si>
  <si>
    <r>
      <t xml:space="preserve">Dobava, nabava i izvedba </t>
    </r>
    <r>
      <rPr>
        <b/>
        <sz val="11"/>
        <rFont val="Calibri"/>
        <family val="2"/>
        <scheme val="minor"/>
      </rPr>
      <t>izravnavajućeg samonivelirajućeg sloja</t>
    </r>
    <r>
      <rPr>
        <sz val="11"/>
        <rFont val="Calibri"/>
        <family val="2"/>
        <scheme val="minor"/>
      </rPr>
      <t xml:space="preserve"> do max. 50 mm debljine. Za unutarnju i vanjsku primjenu.</t>
    </r>
  </si>
  <si>
    <t>Podlogu pripremiti prema uputama tehnologa odabranog PVC poda.</t>
  </si>
  <si>
    <t>Obračun po m2 poda, odnosno m' holkela.</t>
  </si>
  <si>
    <t>a/ podna obloga</t>
  </si>
  <si>
    <t>Obračun po m' postavljenih letvica.</t>
  </si>
  <si>
    <t>PARKETARSKI RADOVI</t>
  </si>
  <si>
    <t>PARKETARSKI RADOVI UKUPNO</t>
  </si>
  <si>
    <t>Postava ljepljenjem na prethodno pripremljenu podlogu, sa svim popravcima i izravnanjima podloge uključenim u jediničnu cijenu stavke.</t>
  </si>
  <si>
    <t>Dobava I postavljanje parketa</t>
  </si>
  <si>
    <t>Završna obrada bezbojnim lakom u polumat izvedbi.</t>
  </si>
  <si>
    <t>U jediničnu cijenu uključen sav potreban rad,  materijal i pribor. Obračun po m2 izvedene obloge poda.</t>
  </si>
  <si>
    <t>KROVOPOKRIVAČKI RADOVI</t>
  </si>
  <si>
    <t>KROVOPOKRIVAČKI RADOVI UKUPNO:</t>
  </si>
  <si>
    <t>Postava crijepa vješanjem i pričvršćivanjem čavlima na pokrovne letve.</t>
  </si>
  <si>
    <t>Jediničnom cijenom obuhvaćena sva pričvrsna sredstva prema statičkom proračunu, kao i pribavljanje potrebnih atesta koji dokazuju da pričvrsni materijal osigurava odižuće djelovanje vjetra na traženom rasponu.</t>
  </si>
  <si>
    <t>a/ pokrov</t>
  </si>
  <si>
    <t>Obračun po m2 pokrivene krovne plohe.</t>
  </si>
  <si>
    <t>Cijenom je obuhvaćen kompletan rad, materijal zajedno sa svim fazonskim komadima za priključak na vertikalnu odvodnu cijev.</t>
  </si>
  <si>
    <t>Obračun po m1 kompletno izvedenog žlijeba.</t>
  </si>
  <si>
    <t>Dobava materijala, izrada i montaža limenih opšava na pročeljima dvorca.</t>
  </si>
  <si>
    <t xml:space="preserve">Obračun po m1, a u cijenu su uključena sva potrebna spojna sredstva, podložni profili, brtvene trake, radna skela i drugo do potpune gotovosti. </t>
  </si>
  <si>
    <t xml:space="preserve">Obračun po m2, a u cijenu su uključena sva potrebna spojna sredstva, podložni profili, brtvene trake, radna skela i drugo do potpune gotovosti. </t>
  </si>
  <si>
    <t>Dobava materijala i izvedba točkastih snjegobrana na krovnim plohama zgrade.</t>
  </si>
  <si>
    <t xml:space="preserve">Nabava dobava i izvedba raznih opšava i okapnih limova iz ravnog čeličnog pocinčanog lima 0,55mm, r.š. lima min. 33 i max. 50cm. </t>
  </si>
  <si>
    <t>Spojeve na nastavku limova po duljini opšava izvesti horizontalnim ležećim dvostrukim prijevojima.</t>
  </si>
  <si>
    <t>Obračun po kompletno m1 montirane vertikale, odnosno komadu labuđeg vrata.</t>
  </si>
  <si>
    <t>Sav upotrebljeni materijal i finalni građevinski proizvodi moraju odgovarati postojećim tehničkim propisima i HR normama.</t>
  </si>
  <si>
    <t>Prilikom izvedbe limarskih radova treba se u svemu pridržavati slijedećih propisa i normi:</t>
  </si>
  <si>
    <t>- Pravilnik o zaštiti na radu u građevinarstvu,</t>
  </si>
  <si>
    <t>- Pravilnik o tehničkim mjerama i uvjetima za završne radove u građevinarstvu,</t>
  </si>
  <si>
    <t>- Tehnički uvjeti za izvođenje limarskih radova,</t>
  </si>
  <si>
    <t>- HR norme:</t>
  </si>
  <si>
    <t xml:space="preserve"> - pocinčani lim HRN C.E4.020.</t>
  </si>
  <si>
    <t>U jediničnim cijenama uračunato je:</t>
  </si>
  <si>
    <t xml:space="preserve"> - naknada za kompletni rad (izrada i montaža),</t>
  </si>
  <si>
    <t xml:space="preserve"> - materijal,</t>
  </si>
  <si>
    <t xml:space="preserve"> - svi vanjski i unutarnji, horizontalni i vertikalni transporti,</t>
  </si>
  <si>
    <t xml:space="preserve"> - premazivanja asfalt lakom, podlaganje krovne ljepenke,</t>
  </si>
  <si>
    <t xml:space="preserve"> - sav sitni i spojni materijal i matrijal za učvršćenje (kuke, plosna željeza, žica za učvršćenje, vijci, zakovice i sl.).</t>
  </si>
  <si>
    <t>Izmjere je potrebno izvršiti na gradilištu, nakon izvedbe, obračunato prema građevinskim normama.</t>
  </si>
  <si>
    <t>Vrstu limova pojedinih elemenata izvesti po dogovoru s  konzervatorskim nadzorom. Sve mjere kontrolirati u naravi.</t>
  </si>
  <si>
    <t>Dobava izrada i ugradba horizontalnog žlijeba.</t>
  </si>
  <si>
    <t>Obračun po m' .</t>
  </si>
  <si>
    <t>Prije izvedbe izvođač treba vrstu i ton snjegobrana  usuglasiti s predstavnikom konzervatorskog nadzora te dostaviti probne uzorke na pregled.</t>
  </si>
  <si>
    <t>Broj snjegobrana po m2  prema preporuci proizvođača odabranog snjegobrana.</t>
  </si>
  <si>
    <t>Obračun po m2  cijele površine krova koju je potrebno štititi snjegobranimai.</t>
  </si>
  <si>
    <t>a/ rš 25cm</t>
  </si>
  <si>
    <t>b/ rš 33cm</t>
  </si>
  <si>
    <t>c/ rš 50cm</t>
  </si>
  <si>
    <t>d/ rš 66cm</t>
  </si>
  <si>
    <t>e/ rš 75cm</t>
  </si>
  <si>
    <t>f/ rš 100cm</t>
  </si>
  <si>
    <t>a/ mineralna vuna</t>
  </si>
  <si>
    <t xml:space="preserve">b/ oplata </t>
  </si>
  <si>
    <t>EPS ne smije doći u dodir s kemijskim supstancama: organska otapala, klorirani ugljikovodici, ketoni, esteri, anhidridi dušične i sumporne kiseline; u praksi su to najčesće benzini, nitro razrjeđivači i primeri, boje na bazi spreja i druge koje se razrijeđuju razrjeđivačem, sintelansko ljepilo, recitol, klasični katran i sl. (oprez kod odabira laka za parket!)</t>
  </si>
  <si>
    <t>NAPOMENA:</t>
  </si>
  <si>
    <t xml:space="preserve">Staklena unutarnja vrata </t>
  </si>
  <si>
    <t>Dobava i montaža tipskih čvrstih točaka (strukturno sidro) na krovu građevine. Po svemu izraditi prema Pravilniku o zaštiti na radu za mjesta rada (NN 29/13), čl.22. Točke pričvršćenja se izvode za osiguranje osoba, kao stalno koristiva zaštita protiv pada sa krova. Izvedba: vruće pocinčano. Montaža na nosivoj konstrukciji krova. Trebaju se koristiti sustavi /potpornji za terete sa čvrsto postavljenim ušicama za pričvršćivanje. Prije postavljanja potrebno je dostaviti projektantu na odobrenje radioničku razradu detalja (sidrenje, proboj hidroizolacije, spoj sa sajlom i broj komada) u ovisnosti o tehnologiji ponuđenog proizvoda.</t>
  </si>
  <si>
    <t>Izrada, dobava i montaža sajle koja se postavlja između točaka iz prethodne stavke za osiguranje osoba, kao stalno koristiva zaštita protiv pada sa ravnog krova. Materijal: inox. Obračun po m1.</t>
  </si>
  <si>
    <t>Dobava i motaža nosača zastava na pročelju.</t>
  </si>
  <si>
    <t>Metalni nosač za tri zastave. Uzorak dostaviti na odobrenje konzervatorima. Postavlja se na pročelju na poziciji u dogovoru s investitorom i konzervatorima. Investitor daje podatke o veličini zastava.</t>
  </si>
  <si>
    <t>Dobava i motaža zaštite protiv ptica.</t>
  </si>
  <si>
    <t>Dobava, montaža i demontaža vanjske fasadne skele.</t>
  </si>
  <si>
    <t>Po izradi radioničke dokumentacije izvođač istu dostavlja projektantu i konzervatorskom nadzoru na pregled.</t>
  </si>
  <si>
    <t>Radioničkom dokumentacijom/ izvedbenim projektom je potrebno definirati detalje za izvedbu, koji se mogu prilagoditi tehnološkim zahtjevima izvođača s obzirom na transport i montažu.</t>
  </si>
  <si>
    <t>Sav okov, ručke za otvaranje vrata i brave u  izvedbi brušeni inox (cijenom obuhvatiti proizvođača cjenovno srednje tržišne klase).</t>
  </si>
  <si>
    <t>Svi ugrađeni sistemi za vanjske stavke grijanih prostora moraju zadovoljiti zahtjeve "Tehničkog propisa o racionalnoj uporabi energije i toplinskoj zaštiti u zgradama" (NN  128/15, 70/18, 73/18, 86/18, NN 102/20). Izvođač radova je dužan iskazati svojstva građevnog proizvoda u izjavi o svojstvima, sukladno Zakonu o građevnim proizvodima (NN 76/13, 30/14, 130/17, 39/19, 118/20).</t>
  </si>
  <si>
    <t>Svi elementi ograda i rukohvata ne smiju imati nikakve oštre rubove ili bridove.</t>
  </si>
  <si>
    <t>Brave na vratima su usadne s jezičkom i zasunom čiji hod pri zaključavanju mora biti min. 20 mm. Na evakuacijskim vratima brave moraju imati certifikat za ugradnju sukladno propisima. S vanjske strane vrata ista brava omogućava primjenu okova na standardnoj visini. Brava na evakuacijskim vratima mora biti certificirana i ispitana s ostatkom primjenjenog okova kao cjelina. Brave na protupožarnim vratima moraju imati certifikat za primjenu na istima.</t>
  </si>
  <si>
    <t xml:space="preserve">Vanjski okov (kvake/kugle/fiskni rukohvati) su od materijala inox mat, a asortiman primjenjenog proizvođača mora davati mogućnost izbora kvake istog oblika za sve tipove vrata u objektu (standardna, WC, evakuacijska, protupožarna, protudimna). Na evakuacijskim vratima kvaka mora imati certifikat za primjenu na evakuacijskim vratima, a primjenjeni vanjski okov mora biti ispitan i certificiran s primjenjenom bravom.  </t>
  </si>
  <si>
    <t>Panik letva je od materijala inox mat, mora imati certifikat sukladno propisima, te biti ispitan i certificiran kao cjelina u kombinaciji s primjenjenom bravom.</t>
  </si>
  <si>
    <t>RAZNI  RADOVI</t>
  </si>
  <si>
    <r>
      <rPr>
        <b/>
        <sz val="11"/>
        <rFont val="Calibri"/>
        <family val="2"/>
        <scheme val="minor"/>
      </rPr>
      <t xml:space="preserve">Raščišćavanje terena </t>
    </r>
    <r>
      <rPr>
        <sz val="11"/>
        <rFont val="Calibri"/>
        <family val="2"/>
        <scheme val="minor"/>
      </rPr>
      <t>na mjestu izvođenja radova na parceli.</t>
    </r>
  </si>
  <si>
    <t>2.1</t>
  </si>
  <si>
    <t>2.2.</t>
  </si>
  <si>
    <t>2.3.</t>
  </si>
  <si>
    <t>2.4.</t>
  </si>
  <si>
    <t>3.1.</t>
  </si>
  <si>
    <t>4.2</t>
  </si>
  <si>
    <t>4.3</t>
  </si>
  <si>
    <t>4.4</t>
  </si>
  <si>
    <t>4.7</t>
  </si>
  <si>
    <t>6.1</t>
  </si>
  <si>
    <t>6.2</t>
  </si>
  <si>
    <t xml:space="preserve">VATRODOJAVA </t>
  </si>
  <si>
    <t>1.9.</t>
  </si>
  <si>
    <t>1.10.</t>
  </si>
  <si>
    <t>1.11.</t>
  </si>
  <si>
    <t>1.12.</t>
  </si>
  <si>
    <t>1.13.</t>
  </si>
  <si>
    <t>1.14.</t>
  </si>
  <si>
    <t>1.15.</t>
  </si>
  <si>
    <t>1.16.</t>
  </si>
  <si>
    <t>2.1.</t>
  </si>
  <si>
    <t>3.2.</t>
  </si>
  <si>
    <t>3.4.</t>
  </si>
  <si>
    <t>paušal</t>
  </si>
  <si>
    <t>REKAPITULACIJA:</t>
  </si>
  <si>
    <t>OSTALI RADOVI</t>
  </si>
  <si>
    <t>a/  Ø 50-100 mm</t>
  </si>
  <si>
    <r>
      <t>Dobava i izvedba</t>
    </r>
    <r>
      <rPr>
        <b/>
        <sz val="11"/>
        <rFont val="Calibri"/>
        <family val="2"/>
        <scheme val="minor"/>
      </rPr>
      <t xml:space="preserve"> podne AB ploče. </t>
    </r>
    <r>
      <rPr>
        <sz val="11"/>
        <rFont val="Calibri"/>
        <family val="2"/>
        <scheme val="minor"/>
      </rPr>
      <t xml:space="preserve">Izvodi se na sloju  zaštitnog betona, odnosno sloju nasutog zbijenog materijala  (oboje obračunato u zasebnim stavkama). Gornja površina se fino zaglađuje zbog izvedbe hidroizolacije. Ploča se izvodi između postojećih temelja, odnosno zidova, te je samo mjestimično potrebna jednostrana oplata. </t>
    </r>
    <r>
      <rPr>
        <b/>
        <sz val="11"/>
        <rFont val="Calibri"/>
        <family val="2"/>
        <scheme val="minor"/>
      </rPr>
      <t xml:space="preserve"> </t>
    </r>
  </si>
  <si>
    <t>VATRODOJAVA UKUPNO</t>
  </si>
  <si>
    <t>OSTALI RADOVI UKUPNO:</t>
  </si>
  <si>
    <t>Odvoz materijala iz iskopa</t>
  </si>
  <si>
    <t>Stavka podrazumijeva utovar, odvoz i zbrinjavanje viška iskopanog materijala s gradilišta na gradsku deponiju.</t>
  </si>
  <si>
    <t>Sva drvena građa (nova i postojeća) se premazuje fungicidnim premazom, ako ne piše drugačije u stavci - uključeno je u jediničnu cijenu stavke.</t>
  </si>
  <si>
    <t>XV</t>
  </si>
  <si>
    <t>XVIII</t>
  </si>
  <si>
    <t>XIX</t>
  </si>
  <si>
    <t>XX</t>
  </si>
  <si>
    <t>XXII</t>
  </si>
  <si>
    <t>XXIII</t>
  </si>
  <si>
    <t>RADOVI U OKOLIŠU</t>
  </si>
  <si>
    <t>Na mjestima na kojima nije moguće postići dovoljnu nosivost temeljnog tla mehaničkim zbijanjem, predviđa se dobava i polaganje netkanog tekstila mase 300 gr./m2. Stavka uključuje dobavu, transport i ugradnju.</t>
  </si>
  <si>
    <t>Obračun po m2 površine položenog geotekstila</t>
  </si>
  <si>
    <t>Uređenje i zbijanje posteljice</t>
  </si>
  <si>
    <t xml:space="preserve">Rad obuhvaća sve radove koji se moraju obaviti kako bi se sraslo tlo osposobilo da bez štetnih posljedica preuzme opterećenje od konstrukcije i prometno opterećenje, te  uređenje posteljice u usjecima, nasipima i zasjecima, tj. grubo i fino planiranje materijala i nabijanje do tražene zbijenosti. Posteljicu treba izraditi prema kotama iz projekta. </t>
  </si>
  <si>
    <t>Rad mora biti obavljen u skladu s projektom, propisima, programom kontrole i osiguranja kakvoće, projektom organizacije građenja, zahtjevima nadzornog inženjera i OTU.</t>
  </si>
  <si>
    <t>Kote planuma posteljice mogu odstupati od projektiranih najviše za ± 3 cm. Poprečni i uzdužni nagibi posteljice moraju biti prema projektu. Ravnost se mjeri uzdužno, poprečno i dijagonalno.</t>
  </si>
  <si>
    <t>Tekuća ispitivanja obuhvaćaju određivanje stupnja zbijenosti u odnosu na standardni Proctorov postupak (Sz) ili određivanje modula stišljivosti (Ms) kružnom pločom promjera 30 cm, najmanje jedno ispitivanje na svakih 500m2 uređenog temeljnog tla. Kriteriji za ocjenu kvalitete temeljnog tla su slijedeći:</t>
  </si>
  <si>
    <t>- stupanj zbijenosti Sz= min. 100%</t>
  </si>
  <si>
    <t xml:space="preserve"> - modul stišljivosti Ms= min. 30 MN/m2</t>
  </si>
  <si>
    <t>Rad se mjeri i obračunava po četvornom metru stvarno uređenog temeljog tla i posteljice.</t>
  </si>
  <si>
    <t xml:space="preserve">Planiranje zemljane </t>
  </si>
  <si>
    <t>Stavka obuhvaća ručno zasijecanje i planiranje dna iskopa s točnošću +/- 3 cm te nabijanje temeljnog tla vibronabijačem da bi sraslo tlo bez posljedica preuzelo opterećenja.</t>
  </si>
  <si>
    <t>Obračun po m2 uređene površine.</t>
  </si>
  <si>
    <t>Obračun po m3 odvezenog materijala u rastresitom stanju (prema koeficijentu rastresitosti za vrstu materijala koja se odvozi)</t>
  </si>
  <si>
    <t>Ispitivanje modula stišljivosti tla.</t>
  </si>
  <si>
    <t>Stavka obuhvaća ispitivanje modula stišljivosti temeljnog tla i usporedba ispitanih vrijednosti s projektiranim. Kontrolu provoditi na svakih cca 100m2 izvedenog sloja.</t>
  </si>
  <si>
    <t>Ova stavka izvodi se  po prethodnom odobrenju nadzornog inženjera.</t>
  </si>
  <si>
    <t>Obračun po kom ispitanih pozicija.</t>
  </si>
  <si>
    <t>RADOVI U OKOLIŠU UKUPNO</t>
  </si>
  <si>
    <t>XXIV</t>
  </si>
  <si>
    <t>PRIPREMNI</t>
  </si>
  <si>
    <t>ZEMLJANI</t>
  </si>
  <si>
    <t>ARMIRAČKI</t>
  </si>
  <si>
    <t>ZIDARSKI</t>
  </si>
  <si>
    <t>IZOLATERSKI</t>
  </si>
  <si>
    <t>FASADERSKI</t>
  </si>
  <si>
    <t>A GRAĐEVINSKI RADOVI UKUPNO</t>
  </si>
  <si>
    <t>BRAVARSKI</t>
  </si>
  <si>
    <t>STOLARSKI</t>
  </si>
  <si>
    <t>PODOPOLAGAČKI</t>
  </si>
  <si>
    <t>KERAMIČARSKI</t>
  </si>
  <si>
    <t>SOBOSLIKARSKI</t>
  </si>
  <si>
    <t>LIMARSKI</t>
  </si>
  <si>
    <t>OKOLIŠ</t>
  </si>
  <si>
    <t>RAZNI</t>
  </si>
  <si>
    <t>B OBRTNIČKI RADOVI UKUPNO</t>
  </si>
  <si>
    <t>VATRODOJAVA</t>
  </si>
  <si>
    <t>C ELEKTRIČNE INSTALACIJE UKUPNO</t>
  </si>
  <si>
    <t>INSTALACIJE VODOVODA I ODVODNJE</t>
  </si>
  <si>
    <t>XXV</t>
  </si>
  <si>
    <t>SVEUKUPNO</t>
  </si>
  <si>
    <t>STOLARSKI RADOVI</t>
  </si>
  <si>
    <t xml:space="preserve">Sve mjere kontrolirati na licu mjesta. </t>
  </si>
  <si>
    <t>Broj lijevih i desnih jednokrilnih vrata  prema projektu i shemama.</t>
  </si>
  <si>
    <t xml:space="preserve">Vratno krilo puno, sa ispunom šupljom ivericom, izvedba s preklopom, na donjem rubu. </t>
  </si>
  <si>
    <t>Krilo debljine 40 mm, s falcom, drveni okvir s ojačanjem na mjestu kvake/brave, ispuna panel, obostrano laminirano, otporno na utjecaj vode, udaraca i ogrebotina.</t>
  </si>
  <si>
    <t>Završna obloga kril HPL-om (tvrdo prešanim laminatom) d=0,8 mm, u uzorku i tonu po odabiru projektanta, što treba uključiti u cijenu stavke.</t>
  </si>
  <si>
    <t xml:space="preserve">Obratiti pažnju na čistoću ugradbe - ponovno ličenje se ne predviđa. </t>
  </si>
  <si>
    <t xml:space="preserve">Okov u inox satiniranoj izvedbi: </t>
  </si>
  <si>
    <t xml:space="preserve"> -tri komada petlji za ovjes krila u inox izvedbi</t>
  </si>
  <si>
    <t xml:space="preserve"> -brava cilindrična s rozetama (tip "gherung") brušeni inox, </t>
  </si>
  <si>
    <t xml:space="preserve"> -za sanitarne prostore s jedne strane kvaka s druge leptir, a za ostale prostore obostrano kvaka s rozetama i cilindar s 3 ključa</t>
  </si>
  <si>
    <t xml:space="preserve"> -graničnik vrata (inox sa gumom)</t>
  </si>
  <si>
    <t>Pri izboru okova  obuhvatiti proizvođače cjenovno srednje tržišne klase.</t>
  </si>
  <si>
    <t>U vrata sanitarnih prostora je potrebno ugraditi prestrujne rešetke, ugradnja obuhvaćena u jediničnoj cijeni u stolarskim stavkama, a dobava rešetki je u radovima strojarskih instalacija.</t>
  </si>
  <si>
    <t>Obračun po komadu vrata.</t>
  </si>
  <si>
    <t xml:space="preserve">Vrata dimenzija 100/210. </t>
  </si>
  <si>
    <t>Vrata, unutarnja puna zaokretna jednokrilna s  POZ 1</t>
  </si>
  <si>
    <t xml:space="preserve">Vrata dimenzija 80/210. </t>
  </si>
  <si>
    <t>Vrata, unutarnja puna zaokretna jednokrilna s  POZ 2</t>
  </si>
  <si>
    <t>Vrata, unutarnja puna zaokretna jednokrilna s  POZ 3</t>
  </si>
  <si>
    <t>Vrata, unutarnja puna zaokretna jednokrilna s  POZ 4</t>
  </si>
  <si>
    <t>Vrata, unutarnja puna zaokretna jednokrilna s  POZ 5</t>
  </si>
  <si>
    <t>Vrata, unutarnja puna zaokretna jednokrilna s  POZ 6</t>
  </si>
  <si>
    <t>Vrata, unutarnja puna zaokretna jednokrilna s  POZ 7</t>
  </si>
  <si>
    <t>Vrata, unutarnja puna zaokretna jednokrilna s  POZ 7a</t>
  </si>
  <si>
    <t xml:space="preserve">Sve sanitarne pregradne stijene izvode se s ispunom iz HPL ploča. Pregrade se postavljaju na inox nogice na visini 10cm iznad poda.  </t>
  </si>
  <si>
    <t>Broj lijevih/desnih krila prema projektu i shemama.</t>
  </si>
  <si>
    <t xml:space="preserve">Sanitarne pregrade  </t>
  </si>
  <si>
    <t>Obračun po kom ugrađenih pregrada.</t>
  </si>
  <si>
    <t xml:space="preserve">Sanitarne pregrade </t>
  </si>
  <si>
    <t>Prestrujne rešetke 325x125</t>
  </si>
  <si>
    <t>Dobava i ugradnja rešetki pri dnu vratnog krila. Rešetke iz aluminija dimenzija 325mm x 125 mm,  ugradbenim okvirom, spojnim materijalom. Rešetka vidno nepropusna.  Završna obrada natur aluminij.</t>
  </si>
  <si>
    <t>Obračun po kom ugrađene rešetke.</t>
  </si>
  <si>
    <t>Prestrujne rešetke 500x300</t>
  </si>
  <si>
    <t>Dobava i ugradnja rešetki pri dnu vratnog krila. Rešetke iz aluminija kao AFŽV ili jednakovrijedan proizvod* dimenzija 500mm x 300 mm, sa mrežicom koja štiti od insekata, ugradbenim okvirom, spojnim materijalom. Rešetka vidno nepropusna.  Završna obrada natur aluminij.</t>
  </si>
  <si>
    <t>*jednakovrijedan proizvod _______________________________________</t>
  </si>
  <si>
    <t>U jediničnu cijenu uključen kompletan rad, materijal i pribor do pune funkcionalnosti.</t>
  </si>
  <si>
    <t>STOLARSKI RADOVI UKUPNO</t>
  </si>
  <si>
    <t>SOBOSLIKARSKO- LIČILAČKI RADOVI</t>
  </si>
  <si>
    <t>Opći uvjeti:</t>
  </si>
  <si>
    <t>Svi radovi moraju se izvesti prema podacima iz projektne dokumentacije te prema važećim propisima ia normama.</t>
  </si>
  <si>
    <t>Sve izvesti s originalnim materijalom i prema uputama proizvođača boje.</t>
  </si>
  <si>
    <t>Jedinična cijena sadrži sitne popravke površina, impregnaciju, gletanje, brušenje i kitanje, te dvostruki premaz završnom bijelom bojom. Podloga mora biti čvrsta, nosiva, suha i čista. U cijenu je uključen sav potreban rad i materijal.</t>
  </si>
  <si>
    <t>b) Obračun po m2 obojene površine gipskartonskih zidova, zidova sa pločama</t>
  </si>
  <si>
    <r>
      <rPr>
        <b/>
        <sz val="11"/>
        <rFont val="Calibri"/>
        <family val="2"/>
        <scheme val="minor"/>
      </rPr>
      <t>Nabava, dobava materijala i bojanje unutarnjih zidova</t>
    </r>
    <r>
      <rPr>
        <sz val="11"/>
        <rFont val="Calibri"/>
        <family val="2"/>
        <scheme val="minor"/>
      </rPr>
      <t xml:space="preserve"> disperzivnom perivom bojom ("latex") za unutarnje radove.</t>
    </r>
  </si>
  <si>
    <t>Podloga su armirano betonski zidovi te gipskartonske pregrade. Podloga mora biti čvrsta, nosiva, suha i čista.</t>
  </si>
  <si>
    <t>Kod armirano betonskih zidova u jediničnu cijenu stavke uključen je popravak /reparacija/ ab zidova koji se ne žbukaju, reparaturnim mortom.</t>
  </si>
  <si>
    <t>Stavka podrazumjeva nabavu i dobavu materijala, kompletan rad i alat te eventualnu radnu skelu. Cijenom obuhvatiti paletu tonova proizvođača cjenovno srednje tržišne klase.</t>
  </si>
  <si>
    <t>Čišćenje, krpanje i popravak manjih oštećenja (kitanjem), brušenje i ličenje drvene stolarije koja je demontirana i ponovo će se ugraditi u objekt. Demontaža i skladištenje, te stolarski popravak vrata je obračunat u zasebnoj stavci. Vrata se bajcaju u tonu po izboru nadležne konzervatorske službe. Obračun po kom.</t>
  </si>
  <si>
    <t>a/ unutarnja puna uklađena vrata 176/256</t>
  </si>
  <si>
    <t>b/ unutarnja puna uklađena vrata 124/210</t>
  </si>
  <si>
    <t xml:space="preserve">c/ unutarnja uklađena vrata obloga zida </t>
  </si>
  <si>
    <r>
      <rPr>
        <b/>
        <sz val="11"/>
        <rFont val="Calibri"/>
        <family val="2"/>
        <scheme val="minor"/>
      </rPr>
      <t>Nanošenje premaza na površine instalacijskih cijevi</t>
    </r>
    <r>
      <rPr>
        <sz val="11"/>
        <rFont val="Calibri"/>
        <family val="2"/>
        <scheme val="minor"/>
      </rPr>
      <t>, vodova (ventilacija, plin, grijanje, police (kanali) elektrovodova, vodovodnih instalacija i dr).</t>
    </r>
  </si>
  <si>
    <t>Stavka obuhvaća brušenje, odmašćivanje, otprašivanje, kitanje, premaz temeljnom bojom min 2x, bojenje i završno lakiranje min 2x u tonu postava i namjeni prostora. Cijenom obuhvatiti paletu tonova proizvođača cjenovno srednje tržišne klase.</t>
  </si>
  <si>
    <t>Obračun po m1 oličene površine.</t>
  </si>
  <si>
    <r>
      <rPr>
        <b/>
        <sz val="11"/>
        <rFont val="Calibri"/>
        <family val="2"/>
        <scheme val="minor"/>
      </rPr>
      <t>Različiti popravci soboslikarskih radova koji nisu obuhvaćeni troškovnikom</t>
    </r>
    <r>
      <rPr>
        <sz val="11"/>
        <rFont val="Calibri"/>
        <family val="2"/>
        <scheme val="minor"/>
      </rPr>
      <t>, a mogu se pojaviti na objektu, obračunati će se iskazom sati rada, a sve upisom u gradj. knjigu i odobrenjem nadzornog inžinjera. U cijenu uključen potreban materijal.</t>
    </r>
  </si>
  <si>
    <t>Obračun po satima.</t>
  </si>
  <si>
    <t>Obračun po m2 obojene površine</t>
  </si>
  <si>
    <t>Sve izvesti s originalnim materijalom i prema uputama proizvođača laka.</t>
  </si>
  <si>
    <t>Jedinična cijena sadrži sitne popravke površina, impregnaciju, brušenje i kitanje, te broj premaza prema uputama proizvođača. Podloga mora biti čvrsta, nosiva, suha i čista. U cijenu je uključen sav potreban rad i materijal.</t>
  </si>
  <si>
    <t>SOBOSLIKARSKO-LIČILAČKI RADOVI UKUPNO:</t>
  </si>
  <si>
    <t>Protuprašni premaz zidova</t>
  </si>
  <si>
    <t>RUŠENJA I DEMONTAŽE</t>
  </si>
  <si>
    <t>AB RADOVI</t>
  </si>
  <si>
    <t>TESARSKI</t>
  </si>
  <si>
    <t>KROVOPOKRIVAČKI</t>
  </si>
  <si>
    <t>SUHOMONTAŽNI</t>
  </si>
  <si>
    <t>PARKETARSKI</t>
  </si>
  <si>
    <t>KAMENARSKI</t>
  </si>
  <si>
    <t>XXVI</t>
  </si>
  <si>
    <t>D GHV UKUPNO</t>
  </si>
  <si>
    <t>GHV</t>
  </si>
  <si>
    <t>F INSTALACIJE VODOVODA I ODVODNJE UKUPNO</t>
  </si>
  <si>
    <t>VODOVOD I ODVODNJA</t>
  </si>
  <si>
    <t>A</t>
  </si>
  <si>
    <t>B</t>
  </si>
  <si>
    <t>GROMOBRANSKA INSTALACIJA</t>
  </si>
  <si>
    <t xml:space="preserve">Stavka podrazumjeva kompletan rad i alat, utovar, odvoz i zbrinjavanje otpadnog materijala - na gradski deponij. </t>
  </si>
  <si>
    <t>U stavci uključen i odvoz na gradski deponij. Obračun po m1 demontiranog materijala.</t>
  </si>
  <si>
    <t>U stavci uključen i odvoz na gradski deponij. Obračun po komadu.</t>
  </si>
  <si>
    <t>U stavci uključen i odvoz na gradski deponij.</t>
  </si>
  <si>
    <t>Utovar građevinske šute, materijala od rušenja na pročelju, materijala od iskopa, raznog demontiranog materijala i slično, a koji nije uračunat u zasebnim stavkama, te prijevoz na deponij kojeg osigurava izvođač (udaljenost do 20 km), te istovar izvrtanjem. U jediničnu cijenu uključen utovar, odvoz i zbrinjavanje otpadnog materijala na deponij,  kao i sve takse i pristojbe te ostala možebitna plaćanja koja uvjetuju propisi iz područja zbrinjavanja otpada. Deponiju osigurava izvođač.  Obračun po m3 materijala.</t>
  </si>
  <si>
    <t>U stavkama kojima je predviđen odvoz na gradski deponij, uključen je utovar, odvoz, te istovar na deponij,  kao i sve takse i pristojbe te ostala možebitna plaćanja koja uvjetuju propisi iz područja zbrinjavanja otpada. Deponiju osigurava izvođač.</t>
  </si>
  <si>
    <t>Postavlja se zaštita protiv ptica u obliku češlja. Šiljci kao igličasta zaštita izrađena od visokokvalitetnog fleksibilnog materijala – nehrđajućeg čelika (inoxa). Proizvod mora biti otporan na vremenske prilike i na temperaturu od – 40 do + 150C.
Iglice zaštitnog češlja za ptice su savitljive i zatupljene na vrhu, tako da predstavljaju mehaničku prepreku za ptice, blago ih odgurujući od površine na kojoj su šiljci postavljeni i tako u potpunosti onemogućava njihovo pristajanje, zadržavanje i gniježđenje.</t>
  </si>
  <si>
    <t>Maske ventilokonvektora</t>
  </si>
  <si>
    <t>ELEKTROINSTALACIJE UKUPNO</t>
  </si>
  <si>
    <t>TROŠKOVNIK ELEKTROINSTALACIJA</t>
  </si>
  <si>
    <r>
      <t xml:space="preserve">Svi novi elementi temeljnih konstrukcija izvode se u minimalnoj visini određenoj projektnom dokumentacijom, odnosno u razini postojećih temeljnih konstrukcija – stvarna visina izvedbe novih temeljnih konstrukcija odrediti će se po izvedbi iskopa i pregledu podloge od strane </t>
    </r>
    <r>
      <rPr>
        <b/>
        <sz val="11"/>
        <rFont val="Calibri"/>
        <family val="2"/>
        <charset val="238"/>
        <scheme val="minor"/>
      </rPr>
      <t>ovlaštenog geotehničkog nadzora</t>
    </r>
    <r>
      <rPr>
        <sz val="11"/>
        <rFont val="Calibri"/>
        <family val="2"/>
        <charset val="238"/>
        <scheme val="minor"/>
      </rPr>
      <t xml:space="preserve"> i projektanta konstrukcije.</t>
    </r>
  </si>
  <si>
    <t>Potencijalni izvođači su obvezni prilikom izrade ponude uzeti sve navedeno u obzir i ukalkulirati u jedinične cijene.</t>
  </si>
  <si>
    <t>Izrada radioničke dokumentacije nosive krovne konstrukcije.</t>
  </si>
  <si>
    <t>Izrada tehnološkog projekta (plana) podupiranja.</t>
  </si>
  <si>
    <t xml:space="preserve">Pomoćne poduporne konstrukcije izvode se prema planu podupiranja, čija je izrada obuhvaćena zasebnom stavkom. </t>
  </si>
  <si>
    <t>Kompletni  radovi za hortikulturno uređenje parcele, kao i uređenje pješačkih i kolnih površina obrađeni su u zasebnim dijelovima ovog troškovnika.</t>
  </si>
  <si>
    <t xml:space="preserve">TROŠKOVNIK </t>
  </si>
  <si>
    <t>INVESTITOR:</t>
  </si>
  <si>
    <t>GRAĐEVINA:</t>
  </si>
  <si>
    <t>LOKACIJA:</t>
  </si>
  <si>
    <t>ZAJEDNIČKA OZNAKA PROJEKTA:</t>
  </si>
  <si>
    <t>CAPITAL ING d.o.o., OIB: 75926310092</t>
  </si>
  <si>
    <t>Ksaverska cesta 6, 10 000 Zagreb</t>
  </si>
  <si>
    <t>DIREKTOR:</t>
  </si>
  <si>
    <t>GLAVNI PROJEKTANT:</t>
  </si>
  <si>
    <t>PROJEKTANTI:</t>
  </si>
  <si>
    <t>Tanja Artuković, dipl.ing.arh.</t>
  </si>
  <si>
    <t>mr.sc. Dragan Kovač, dipl.ing.građ.</t>
  </si>
  <si>
    <t>Nataša Hrsan, dipl.ing.arh.</t>
  </si>
  <si>
    <t>SURADNICI:</t>
  </si>
  <si>
    <t>Tomislav Tonković, mag.ing.arch.</t>
  </si>
  <si>
    <t>Nives Dabić, mag.ing.arch.</t>
  </si>
  <si>
    <t>DATUM:</t>
  </si>
  <si>
    <t>Ulica grada Vukovara 41, Zagreb</t>
  </si>
  <si>
    <t>ZAGREBAČKI HOLDING d.o.o., OIB: 85584865987</t>
  </si>
  <si>
    <t>CJELOVITA OBNOVA ZGRADE JAVNE NAMJENE - 
''ŠKOLE'' HOSTELA GRAD MLADIH, GRANEŠINA</t>
  </si>
  <si>
    <t>Aleja hrvatske mladeži 29, Zagreb, k.č. 7098, k.o. Granešina Nova</t>
  </si>
  <si>
    <t>12/24</t>
  </si>
  <si>
    <t>Mladen Smoljanec, mag.oec.</t>
  </si>
  <si>
    <t>Zrinko Šimunić, dipl.ing.el.</t>
  </si>
  <si>
    <t>Zoran Bahunek, dipl.ing.stroj.</t>
  </si>
  <si>
    <t>Patricia Majerović, mag.ing.arch.</t>
  </si>
  <si>
    <t>Barbara Gorski, mag.ing.arch.</t>
  </si>
  <si>
    <t>prosinac, 2025.</t>
  </si>
  <si>
    <t>1. Uklanjanje postojećeg grmolikog zelenila na parceli u području obuhvata za radova na  projektiranoj zgradi;</t>
  </si>
  <si>
    <t>Prostor je potrebno opremiti namještajem: ormar za dokumentaciju dim 180x80x40 cm, garderobni ormar 180x80x40x cm, 4 uredska stola 180x70x75 sa dvije stolice i 4 klupe za gradilišne sastanke.</t>
  </si>
  <si>
    <t>Ukupna netto površina cca 1100m2.</t>
  </si>
  <si>
    <r>
      <rPr>
        <b/>
        <sz val="11"/>
        <rFont val="Calibri"/>
        <family val="2"/>
        <scheme val="minor"/>
      </rPr>
      <t>Izrada i predaja investitoru izrađenih energetskih certifikata</t>
    </r>
    <r>
      <rPr>
        <sz val="11"/>
        <rFont val="Calibri"/>
        <family val="2"/>
        <scheme val="minor"/>
      </rPr>
      <t xml:space="preserve"> od strane ovlaštene osobe. Energetski certifikat se dostavlja se u 4 papirnata primjerka i 2 elektronska na CD-u (u PDF i DWG formatu).</t>
    </r>
  </si>
  <si>
    <r>
      <t xml:space="preserve">Izrada i predaja investitoru izrađenih </t>
    </r>
    <r>
      <rPr>
        <b/>
        <sz val="11"/>
        <rFont val="Calibri"/>
        <family val="2"/>
        <scheme val="minor"/>
      </rPr>
      <t>planova evakuacijskih puteva</t>
    </r>
    <r>
      <rPr>
        <sz val="11"/>
        <rFont val="Calibri"/>
        <family val="2"/>
        <scheme val="minor"/>
      </rPr>
      <t>. Planovi evakuacijskih puteva se dostavljaju u 4 papirnata primjerka i 2 elektronska na CD-u (u PDF i DWG formatu).</t>
    </r>
  </si>
  <si>
    <t>Dobava i postava svih potrebnih pomoćnih konstrukcija za podupiranje konstruktivnih elemenata građevine za vrijeme izvođenja radova rušenje i demontaže, te tijekom izvođenja ostalih radova, a koje nisu posebno navedene u drugim stavkama.</t>
  </si>
  <si>
    <t>Obračun po m2 površine poduprtih zidova.</t>
  </si>
  <si>
    <t>Za razradu detalja izvedbe podupiranja konstrukcije potrebna je izrada radioničko - tehnološke dokumentacije  (razina izvedbenog projekta), koju izrađuje izvođač radova - ovisno o tehnologiji izvođenja radova koju planira i može primijeniti u konkretnom slučaju. Izvođač radioničku dokumentaciju dostavlja projektantu konstrukcije na pregled i suglasnost da je ista izrađena u skladu s glavnim projektom konstrukcije. Radioničkom dokumentacijom je potrebno definirati detalje za izvedbu,  sa razradom spojeva i načinom oslanjanja potporne konstrukcije na konstruktivne elemente zgrade, a koji se mogu prilagoditi tehnološkim zahtjevima izvođača s obzirom na transport i montažu. Radionička dokumentacija mora biti ovjerena od strane ovlaštenog projektanta kojeg je odabrao i angažirao izvođač.</t>
  </si>
  <si>
    <r>
      <t>U sklopu glavnog projekta - mapa 2 projekt konstrukcije, dana je skica načina osiguranja postojećih zidova koji se zadržavaju. Zidovi se podupiru obostrano. Podupiranje izvesti kosim oplatnim podupiračima koji se postavljaju na svaka 2,5m pod kutom 45</t>
    </r>
    <r>
      <rPr>
        <sz val="11"/>
        <rFont val="Aptos Narrow"/>
        <family val="2"/>
      </rPr>
      <t>°</t>
    </r>
    <r>
      <rPr>
        <sz val="11"/>
        <rFont val="Calibri"/>
        <family val="2"/>
        <scheme val="minor"/>
      </rPr>
      <t>, te u dnu kojih je potrebno izvesti betonske temelje 25/50. Stavkom su obuhvećeni  svi potrebni radovi na izvedbi podupiranja tijekom cijelog izvođenja radova, povremene kontrole i popravci, te kasnija demontaža i razgradnja svih elemenata podupiranja.</t>
    </r>
  </si>
  <si>
    <t>Izrada tehnološkog projekta (plana) za izvedbu dobetoniranih temeljnih traka.</t>
  </si>
  <si>
    <t>Za razradu detalja izvedbe dobetoniranih temeljnih traka potrebna je izrada radioničko - tehnološke dokumentacije  (razina izvedbenog projekta), koju izrađuje izvođač radova - ovisno o tehnologiji izvođenja radova koju planira i može primijeniti u konkretnom slučaju. Izvođač radioničku dokumentaciju dostavlja projektantu konstrukcije na pregled i suglasnost da je ista izrađena u skladu s glavnim projektom konstrukcije. Radioničkom dokumentacijom je potrebno definirati detalje za izvedbu,  a koji se mogu prilagoditi tehnološkim zahtjevima izvođača s obzirom na mogućnosti transporta i montaže. Radionička dokumentacija mora biti ovjerena od strane ovlaštenog projektanta kojeg je odabrao i angažirao izvođač.</t>
  </si>
  <si>
    <t>Dobava i montaža vodootporne metalne ploče na stupovima sa svim potrebnim informacijama vezanim za gradilište u skladu s hrvatskim zakonima i smjernicama EU. Dimenzije ploče 2 m2.</t>
  </si>
  <si>
    <t>Stavka se odnosi na povijesnu drvenu vanjsku stolariju. Po jedan primjerak svakog tipa stijene je potrebno sačuvati, zaštititi I skladištiti do izrade nove bravarije koja se izražuje u detaljima poput povijesne. Tek po izradi I ugradnji nove bravarije može se i ove sačuvane primjerke povijesne odvesti na otpad. U jediničnoj cijeni stavke uračunati čuvanje, skladištenje, zaštitu po jednog primjerka od svakog tipa stijene.</t>
  </si>
  <si>
    <t>a/ stijena 215/181cm</t>
  </si>
  <si>
    <t>b/ stijena 266/202cm</t>
  </si>
  <si>
    <t>c/ stijena 445/202cm</t>
  </si>
  <si>
    <t>e/ stijena 275/158cm</t>
  </si>
  <si>
    <t>f/ stijena 312/80cm</t>
  </si>
  <si>
    <t>d/ stijena 518/110cm</t>
  </si>
  <si>
    <t>g/ stijena 313/260cm</t>
  </si>
  <si>
    <t>Demontaža vanjskih ostakljenih i punih stijena, prozora i vrata uključivo pripadajući doprozornik,  dovratnik i prag. Prethodno provjeriti povezanost s nosivom konstrukcijom zidova kako ne bi eventualno došlo do rušenja zidova / stropova. Stavke se pažljivo demontira, privremeno odlaže na gradilišni deponij i potom odvozi na gradski deponij.</t>
  </si>
  <si>
    <t>Obračun po komadu demontirane stijene.</t>
  </si>
  <si>
    <t>Demontaža vanjskih ostakljenih i punih drvenih stijena, vrata i prozora - povijesna stolarija</t>
  </si>
  <si>
    <t>Demontaža vanjskih ostakljenih i punih drvenih stijena, vrata i prozora - ostala stolarija I bravarija</t>
  </si>
  <si>
    <t>Stavka se odnosi na drvenu stolariju, PVC stolariju, te aluminijsku bravariju i crnu bravariju.</t>
  </si>
  <si>
    <t>a/ stijena 429/248cm</t>
  </si>
  <si>
    <t>b/ stijena 543/275cm</t>
  </si>
  <si>
    <t>c/ stijena 340/183cm</t>
  </si>
  <si>
    <t>d/ stijena 324/185cm</t>
  </si>
  <si>
    <t>e/prozor 90/95cm</t>
  </si>
  <si>
    <t>f/ stijena 472/197cm</t>
  </si>
  <si>
    <t>g/ stijena 268/197cm</t>
  </si>
  <si>
    <t>h/ prozor 60/60cm</t>
  </si>
  <si>
    <t>i/ stijena 314/277cm</t>
  </si>
  <si>
    <t>h/prozor 240/125cm</t>
  </si>
  <si>
    <t>j/ stijena 270/280cm</t>
  </si>
  <si>
    <t>i/prozor 120/120cm</t>
  </si>
  <si>
    <t>Demontaža vanjskih drvenih obloga</t>
  </si>
  <si>
    <t>Demontaža raznih drugih elemenata sa zgrade - ljestve</t>
  </si>
  <si>
    <t>Demontaža raznih drugih elemenata sa zgrade - limeni kanali</t>
  </si>
  <si>
    <t>Demontaža vanjskih drvenih obloga sa fasade uključujući potkonstrukciju, te sve elemente u sklopu te fasade (npr. reviziona vratašca i sl.). U stavci uključena demontaža, razgradnja, utovar I transport na gradski deponij.</t>
  </si>
  <si>
    <t>Na pročelju se nalaze metalne ljestve za pristup krovu. Ljestve izvedene kao crna bravarija iz čeličnih profila (cijevi), dužine 150cm. U stavci uključena demontaža, utovar I transport na gradski deponij.</t>
  </si>
  <si>
    <t>Na pročelju se nalaze  limeni kanali (promjera cca 30cm). U stavci uključena demontaža, razgradnja, utovar i transport na gradski deponij.</t>
  </si>
  <si>
    <t xml:space="preserve">Demontaža unutarnjih vrata </t>
  </si>
  <si>
    <t xml:space="preserve">Demontaža unutarnjih  zaokretnih vrata raznih dimenzija, uključivo pripadajući kompletan dovratnik. Prethodno provjeriti povezanost s nosivom konstrukcijom zidova kako ne bi eventualno došlo do rušenja zidova / stropova. </t>
  </si>
  <si>
    <t>Stavka obuhvaća demontažu, utovar I transport na gradski deponij.</t>
  </si>
  <si>
    <t xml:space="preserve">a/ stijena dimenzija do 220/300cm. </t>
  </si>
  <si>
    <t>a/ jednokrilna vrata dimenzija do 100/280</t>
  </si>
  <si>
    <t>b/ jednokrilna vrata dimenzija do 120/280</t>
  </si>
  <si>
    <t>c/ dvokrilna vrata dimenzija do 220/280</t>
  </si>
  <si>
    <t xml:space="preserve">b/ stijena dimenzija do 260/300cm. </t>
  </si>
  <si>
    <t xml:space="preserve">a/ stijena dimenzija do 360/300cm. </t>
  </si>
  <si>
    <t xml:space="preserve">a/ stijena dimenzija do 445/300cm. </t>
  </si>
  <si>
    <t>Demontaža unutarnjih ostakljenih I punih stijena</t>
  </si>
  <si>
    <t>Demontaža unutarnjih  pregradnih stijena raznih dimenzija. Prethodno provjeriti povezanost s nosivom konstrukcijom zidova kako ne bi eventualno došlo do rušenja zidova / stropova. Stijene sa vratnim krilima. Većina stijena su ostakljene staijene, a manji dio su pune stijene.</t>
  </si>
  <si>
    <t>U stavci uključeno uklanjanje svih elemenata pokrova, utovar, I transport na gradski deponij.</t>
  </si>
  <si>
    <t>Postojeći pokrov je iz valovitih vlaknocementnih ploča. U potpunosti se uklanja pokrov, te svi ostali elementi pokrova kao što su sljemenjaci, uvale, grebeni, te rubni završetci I dr.</t>
  </si>
  <si>
    <t>Demontaža postojećeg pokrova - valovite ploče</t>
  </si>
  <si>
    <t>Demontaža postojećeg pokrova - falcani lim</t>
  </si>
  <si>
    <t>Stavkom obuhvaćena demontaža falcanog lima zajedno sa podložnim slojevima (daske, OSB ploče, ljepenka, te drvena potkonstrukcija za nagib).</t>
  </si>
  <si>
    <t>Obračun po m2 plohe krova.</t>
  </si>
  <si>
    <t>a/ falcani lim</t>
  </si>
  <si>
    <t>b/ daske, OSB ploča na drvenoj potkonstrukciji</t>
  </si>
  <si>
    <t xml:space="preserve">Demontiraju se postojeći limarski elementi (vertikalni i horizontalni žlijebovi, labuđi vratovi, razni opšavi i dr.), te ih se potom odvozi na gradski deponij. Sve je potrebno pažljivo demontirati kako ne bi došlo do oštećenja pročelja ili drugih elemenata zgrade koji se zadržavaju. </t>
  </si>
  <si>
    <t xml:space="preserve">c/ ležeći žlijeb na spoju dvije krovne plohe </t>
  </si>
  <si>
    <t>d/ razni opšavi širine do 50cm</t>
  </si>
  <si>
    <t>e/ razni opšavi širine 50cm do 100cm</t>
  </si>
  <si>
    <t xml:space="preserve">Postojeće drvene krovne letve se demontiraju, te se odvoze na gradski deponij.  Sve je potrebno pažljivo demontirati kako ne bi došlo do oštećenja pročelja ili drugih elemenata zgrade koji se zadržavaju. </t>
  </si>
  <si>
    <t>Uklanjanje krovne hidroizolacije</t>
  </si>
  <si>
    <t>Uklanja se sva krovna hidroizolacija, utovaruje I transportira na gradski deponij.</t>
  </si>
  <si>
    <t>Obračun po m2 površine s koje je uklonjena hidroizolacija.</t>
  </si>
  <si>
    <t>Demontaža drvene krovne konstrukcije</t>
  </si>
  <si>
    <t xml:space="preserve">Postojeći krovovi su dvostrešni  i jednostrešni, demontira se kompletna nosiva drvena konstrukcija. Sve je potrebno pažljivo demontirati kako ne bi došlo do oštećenja pročelja ili drugih elemenata zgrade koji se zadržavaju. </t>
  </si>
  <si>
    <t>Obračun po m2 ortogonalne projekcije krovne plohe.</t>
  </si>
  <si>
    <t>Razgradnja i uklanjanje slojeva spuštenog stropa</t>
  </si>
  <si>
    <t>demontaža postojećeg spuštenog stropa u dvorani. Demontira se sav spušteni strop s potkonstrukcijom i ovjesom, te bočnim stranama. Ovjes cca 50cm. Strop modularni u rasteru 60x60cm iz akustičkih ploča.</t>
  </si>
  <si>
    <t>Obračun po m2 ortogonalne projekcije stropne plohe.</t>
  </si>
  <si>
    <t>a/ ploha spuštenog stropa</t>
  </si>
  <si>
    <t>b/ bočne strane spuštenog stropa</t>
  </si>
  <si>
    <t>Razgradnja i uklanjanje slojeva stropa</t>
  </si>
  <si>
    <t xml:space="preserve">Razgradnja i uklanjanje svih postojećih slojeva poda (uključivo podne obloge) prizemlja. Debljina slojeva varira od 20-30 cm, pretpostavljena debljina slojeva. Usitnjavanje elemenata u cijeni stavke. Vršiti pažljivo da ne dođe do oštećenja zidova koji se zadržavaju! </t>
  </si>
  <si>
    <t>U cijeni je uključena razgradnja i demontaža svih slojeva stropa (osim drvenog grednika), sa ručnim utovarom materijala u vozilo i odvoz svog materijala na  gradsku deponiju kao i sve takse i pristojbe te ostala možebitna plaćanja koja uvjetuju propisi iz područja zbrinjavanja otpada. Deponiju osigurava izvođač.</t>
  </si>
  <si>
    <t>Demontira se postojeći drveni grednik. Očekivane dimenzije drvenog grednika su 20/16. U stavci je i utovar I odvoz na gradski deponij.</t>
  </si>
  <si>
    <t>Obračun po m2 stropa u kojem se demontiraju drveni grednici.</t>
  </si>
  <si>
    <t>a/ zidovi debljine do 15 cm</t>
  </si>
  <si>
    <t>b/ zidovi debljine od 15 cm do 25 cm</t>
  </si>
  <si>
    <t xml:space="preserve">Rušenje i uklanjanje unutarnjih I vanjskih zidova od opeke </t>
  </si>
  <si>
    <t xml:space="preserve">c/ zidovi debljine veće od 25 cm </t>
  </si>
  <si>
    <t>Rušenje i uklanjanje unutarnjih I vanjskih zidova od betona i AB</t>
  </si>
  <si>
    <t>Ruše se svi postojeći zidovi osim zidova koji su u nacrtima označeni sivoplavom bojom. U ovu stavku su uključene i sve obloge na tim zidovima (žbuka, keramičke pločice).  Zidovi su različitih debljina. Visina zida do 3,60 m. U stavci uključen i odvoz na gradski deponij.</t>
  </si>
  <si>
    <t>Ruše se svi postojeći zidovi osim zidova koji su u nacrtima označeni sivoplavom bojom. U ovu stavku su uključene i sve obloge na tim zidovima (žbuka, keramičke pločice).  Zidovi su različitih debljina. Visina zida do 3,60 m. U stavci uključen utovar  i odvoz na gradski deponij.</t>
  </si>
  <si>
    <t xml:space="preserve">Rušenje i uklanjanje AB greda i stupova </t>
  </si>
  <si>
    <t>Ruše se svi postojeći stupovi i grede (paziti da se ne ošteti zidove koji se zadržavaju i koji su u nacrtima označeni sivoplavom bojom). U ovu stavku su uključene i sve obloge na tim gredama i stupovima (žbuka, keramičke pločice).  Grede i stupovi su različitih dimenzija.  U stavci uključeno usitnjavanje, utovar  i odvoz na gradski deponij.</t>
  </si>
  <si>
    <t>Rušenje i uklanjanje AB stropnih ploča I konzolnih istaka</t>
  </si>
  <si>
    <t>Ruše se svi postojeći konzolni istaci (vijenci, nadozidi, te stropne ploče (paziti da se ne ošteti zidove koji se zadržavaju i koji su u nacrtima označeni sivoplavom bojom). U ovu stavku su uključene i sve obloge na tim elementima.  Elementii su različitih dimenzija.  U stavci uključeno usitnjavanje, utovar  i odvoz na gradski deponij.</t>
  </si>
  <si>
    <t>Pažljiva razgradnja kompozitnih zidova izvedenih iz lomljenog kamena i AB</t>
  </si>
  <si>
    <t xml:space="preserve">Razgradnju kompozitnih zidova koji su predviđeni za uklanjanje je potrebno vršiti s osobitom pažnjom, kako bi se sačuvao postojeći kamen za daljnju upotrebu. Razgrađuju se svi postojeći kompozitni zidovi osim zidova koji su u nacrtima označeni sivoplavom bojom. U ovu stavku su uključene i sve obloge na tim zidovima (žbuka, keramičke pločice).  Zidovi su različitih debljina 45 - 60cm. Visina zida do 3,0m i 3 do 5,0 m. U stavci uključeno: utovar i odvoz razgrađenog kamena na gradilišni deponij, skladištenje na način da se ne ošteti i da ga se ne može otuđiti sve do ponovne ugradnje, te usitnjavanje betonskih dijelova zida i utovar i odvoz tih betonskih dijelova zida  na gradski deponij. Potrebno je </t>
  </si>
  <si>
    <t xml:space="preserve">Rušenje i uklanjanje nadtemeljnih AB zidova </t>
  </si>
  <si>
    <t xml:space="preserve">Rušenje i uklanjanje AB I betonskih temelja </t>
  </si>
  <si>
    <t>Ruše se svi postojeći temelji ispod postojećih zidova koji se ruše.  Temelji su različitih dimenzija.  U stavci uključeno usitnjavanje, utovar i odvoz na gradski deponij.</t>
  </si>
  <si>
    <t>Pažljivo otucanje uzorka sokla iz pranog kulira</t>
  </si>
  <si>
    <t>Obračun po kom uzorka.</t>
  </si>
  <si>
    <t>Povijesni sokl je izveden u pranom kuliru iz zelenog sljemenskog kamena.  Prije početka rušenja je potrebno otući jedan dio kulira te ga sačuvati na gradilištu do kraja izvođenja radova, kako bi se po tom uzorku izradio novi kulir za sokl. Min dimenzije uzorka 20cm x 20cm. U stavci uključen sav potreban rad i materijal, te čuvanje uzorka, do odobrenja projektanta da se isti može baciti, te odvoz na gradski deponij.</t>
  </si>
  <si>
    <t>Ruše se svi postojeći zidovi ispod postojećih zidova koji se ruše.  Stavkom obuhvaćeno I rušenje svih obloga koje postoje na nadtemeljnom zidu (sokl iz pranog kulira, keramika, žbuka). Zidovi su različitih debljina. Visina zida do 1,80 m. U stavci uključeno usitnjavanje, utovar i odvoz na gradski deponij.</t>
  </si>
  <si>
    <t xml:space="preserve">Razgradnja i uklanjanje podnih AB I betonskih ploča </t>
  </si>
  <si>
    <t>Razgrađuju se sve podne ploče, uključivo stepenastu ploču u dvorani.  Pretpostavljena debljina ploče 20cm.  U stavci uključeno usitnjavanje, utovar i odvoz na gradski deponij.</t>
  </si>
  <si>
    <t>Rušenje  postojećeg AB dimnjaka. Dimnjak je tlocrtno 90 x 90 cm, te visine 13m. Uklanjaju se i metalne penjalice koje se nalaze na dimnjaku. U stavci uključeno usitnjavanje, utovar te odvoz svog srušenog materijala na gradski deponij.</t>
  </si>
  <si>
    <t xml:space="preserve">Obračun po m3 srušenog materijala dimnjaka (bez dodataka za rastresitost), te po m' penjalica. </t>
  </si>
  <si>
    <t>b/ penjalice (ljestve)</t>
  </si>
  <si>
    <t>a/ dimnjak</t>
  </si>
  <si>
    <t>Rušenje i razgradnja postojećih AB nadvoja u zidovima koji se ruše. nadvoji presjeka do 30x30cm, različitih dužina. U stavci uključen utovar I odvoz srušenog materijala na gradski deponij.</t>
  </si>
  <si>
    <t>Demontaža postojeće gromobranske instalacije.</t>
  </si>
  <si>
    <t>Demontaža postojeće sanitarne opreme.</t>
  </si>
  <si>
    <t>Demontaža postojećih instalacija jake I slabe struje.</t>
  </si>
  <si>
    <t>Obračun uključuje demontažu kompletne postojeće instalacije jake i slabe struje - uključujući rasvjetna tijela.</t>
  </si>
  <si>
    <t>U stavci uključen odvoz na gradski deponij.</t>
  </si>
  <si>
    <t>Obračun uključuje demontažu kompletne postojeće instalacije vodovoda I odvodnje.</t>
  </si>
  <si>
    <t>Prije radova demontaže, potrebno je otpojiti instalaciju s mreže i blindirati priključke.</t>
  </si>
  <si>
    <t xml:space="preserve">Čišćenje kamena. </t>
  </si>
  <si>
    <t>Obračun po m3 kamena.</t>
  </si>
  <si>
    <t>Razgrađeni kamen iz kompozitnih zidova potrebno je očistiti od ostataka betona, morta I ostalih nečistoća i pripremiti za ponovnu ugradnju.</t>
  </si>
  <si>
    <t>a/ cijeli zid visine 3m do 5m</t>
  </si>
  <si>
    <t>b/ cijeli zid visine do 3m</t>
  </si>
  <si>
    <t>c/ manji dijelovi zidova koji se zadržavaju radi povezivanja s novom konstrukcijom</t>
  </si>
  <si>
    <r>
      <t xml:space="preserve">Dobava i izvedba sloja </t>
    </r>
    <r>
      <rPr>
        <b/>
        <sz val="11"/>
        <rFont val="Calibri"/>
        <family val="2"/>
        <scheme val="minor"/>
      </rPr>
      <t>mršavog betona</t>
    </r>
    <r>
      <rPr>
        <sz val="11"/>
        <rFont val="Calibri"/>
        <family val="2"/>
        <scheme val="minor"/>
      </rPr>
      <t xml:space="preserve"> ispod ojačanja postojećih temelja.  Širina poteza podložnog betona je 30 cm, a visina 10cm. Izvodi se u  iskopu u tlu - bez oplate.  </t>
    </r>
    <r>
      <rPr>
        <b/>
        <sz val="11"/>
        <rFont val="Calibri"/>
        <family val="2"/>
        <scheme val="minor"/>
      </rPr>
      <t xml:space="preserve"> </t>
    </r>
    <r>
      <rPr>
        <sz val="11"/>
        <rFont val="Calibri"/>
        <family val="2"/>
        <scheme val="minor"/>
      </rPr>
      <t>Obračun po m3 betona.</t>
    </r>
  </si>
  <si>
    <r>
      <t>Dobava i izvedba</t>
    </r>
    <r>
      <rPr>
        <b/>
        <sz val="11"/>
        <rFont val="Calibri"/>
        <family val="2"/>
        <scheme val="minor"/>
      </rPr>
      <t xml:space="preserve"> podložnog betona</t>
    </r>
    <r>
      <rPr>
        <sz val="11"/>
        <rFont val="Calibri"/>
        <family val="2"/>
        <scheme val="minor"/>
      </rPr>
      <t xml:space="preserve"> na sloju nabijenog šljunčanog materijala i u tlu - ispod novih temeljnih traka i ispod novih podnih ploča. Gornja površina se fino zaglađuje zbog izvedbe hidroizolacije. Ako se zbog tehnoloških uvjeta ugradnje predviđa korištenje pumpe moguća je ugradnja betona veće klase te je navedeno potrebno obuhvatiti jediničnom cijenom. </t>
    </r>
    <r>
      <rPr>
        <b/>
        <sz val="11"/>
        <rFont val="Calibri"/>
        <family val="2"/>
        <scheme val="minor"/>
      </rPr>
      <t xml:space="preserve"> </t>
    </r>
    <r>
      <rPr>
        <sz val="11"/>
        <rFont val="Calibri"/>
        <family val="2"/>
        <scheme val="minor"/>
      </rPr>
      <t>Obračun po m3 betona.</t>
    </r>
  </si>
  <si>
    <t>Izvedba ojačanja postojećih temelja</t>
  </si>
  <si>
    <t>Ojačanje se provodi na način da se uz postojeće temelje obostrano dobetoniraju temeljne trake dimenzija b/h=30/80 cm. Povezivanje dvije strane ojačanja temelja se provodi na mjestima otvora u postojećem temelju, tako da se kroz postojeći temelj krunom probuše rupe dimenzija 30/80 cm, te se kroz njih postave armaturni koševi. Vezne trake se moraju izvoditi kampadno, odnosno ne mogu se istovremeno šlicati svi otvori odjednom.</t>
  </si>
  <si>
    <t xml:space="preserve">a/ bušenje rupe </t>
  </si>
  <si>
    <t>b/postavljanje armaturnih koševa</t>
  </si>
  <si>
    <t>c/ beton (zapunjavanje rupa i dobetoniravanje traka</t>
  </si>
  <si>
    <t xml:space="preserve"> Obračun po kom izbušene rupe, kom armaturnog koša i m3 betona.</t>
  </si>
  <si>
    <t>Izvoditi sukladno tehnološkom projektu ojačanja temelja odobrenom od strane projektanta konstrukcije. Izrada tehnološkog projekta je u obvezi izvođača I predmet je zasebne stavke. Rupe bušiti pažljivo kako ne bi došlo do oštećenja zida koji se zadržava.</t>
  </si>
  <si>
    <t>Izrada tehnološkog projekta (plana) rušenja/uklanjanja dijelova zgrade koji su predviđeni da se uklone.</t>
  </si>
  <si>
    <t>Tehnološkim projektom (planom) rušenja je potrebno definirati redosljed izvođenja radova rušenja i uklanjanja, sve mjere osiguranja od nekontroliranog urušavanja te mjere osiguranja od urušavanja ili oštećenja zidova koji se zadržavaju. Uklanjaju se svi dijelovi zgrade, osim postojećih kompozitnih zidova koji su izvedeni iz kamena i betona (u tlocrtima označeni plavom bojom) i njihovih temelja.</t>
  </si>
  <si>
    <t xml:space="preserve">Tehnološki projekt rušenja izrađuje izvođač i predlaže mjere i rješenja ovisno o tehnologiji izvođenja radova koju planira i može primijeniti u konkretnom slučaju. Radionička dokumentacija mora biti ovjerena od strane ovlaštenog projektanta kojeg je odabrao i angažirao izvođač. Izvođač ovjerenu radioničku dokumentaciju dostavlja projektantu konstrukcije na pregled i suglasnost da je ista izrađena u skladu s glavnim projektom konstrukcije. Radioničkom dokumentacijom je potrebno definirati detalje za izvedbu,  sa razradom spojeva i načinom oslanjanja potporne konstrukcije na konstruktivne elemente zgrade, a koji se mogu prilagoditi tehnološkim zahtjevima izvođača s obzirom na transport i montažu. </t>
  </si>
  <si>
    <t>Radovima rušenja dijelova zgrade se može pristupiti tek po suglasnosti projektanta na tehnološki projekt rušenja izrađen od strane izvođača.</t>
  </si>
  <si>
    <t>Radovima ojačanja postojećih temelja se može pristupiti tek po suglasnosti projektanta na tehnološki projekt ojačanja temelja izrađen od strane izvođača.</t>
  </si>
  <si>
    <t>Radovima podupiranja postojećih zidova koji se zadržavaju se može pristupiti tek po suglasnosti projektanta na tehnološki projekt podupiranja izrađen od strane izvođača.</t>
  </si>
  <si>
    <t>Dobava i postava zaštite postojećih zidova koji se zadržavaju za vrijeme izvođenja radova rušenje i demontaže, te tijekom izvođenja ostalih radova, a koje nisu posebno navedene u drugim stavkama.</t>
  </si>
  <si>
    <t>Zaštita zidova se izvodi OSB pločama s obje strane zida, te postavljanjem vreća s pijeskom s obje strane zida.</t>
  </si>
  <si>
    <t>Obračun po m2 površine plohe koja se štiti.</t>
  </si>
  <si>
    <t>a/ OSB ploče</t>
  </si>
  <si>
    <t>b/ vreće s pijeskom</t>
  </si>
  <si>
    <r>
      <t>Dobava i izvedba</t>
    </r>
    <r>
      <rPr>
        <b/>
        <sz val="11"/>
        <rFont val="Calibri"/>
        <family val="2"/>
        <scheme val="minor"/>
      </rPr>
      <t xml:space="preserve"> novog AB trakastog temelja</t>
    </r>
    <r>
      <rPr>
        <sz val="11"/>
        <rFont val="Calibri"/>
        <family val="2"/>
        <scheme val="minor"/>
      </rPr>
      <t>. Temelji su širine 60cm - 120cm, visine 80cm, nadtemeljni dio je visine od 0 do 200cm, te širine 20cm - 60cm. Izvodi se na sloju mršavog obuhvaćenog zasebnom stavkom. Izvedba u dvostranoj daščanoj oplati. Obračun po m3 betona, m2 oplate.</t>
    </r>
  </si>
  <si>
    <t>Za sve stavke izvođač je obvezan izraditi radioničke nacrte. Izvođač radova je dužan izrađene radioničke nacrte dostaviti na ovjeru te usaglasiti sve detalje, a tek nakon toga elementi se mogu dati na izradu.</t>
  </si>
  <si>
    <t xml:space="preserve">Vrata se postavljaju u sistemskom metalnom obuhvatnom dovratniku (osim ako nije drugačije navedeno  pojedinoj stavci). </t>
  </si>
  <si>
    <t>Vrata, unutarnja puna zaokretna jednokrilna s  POZ 1a</t>
  </si>
  <si>
    <t>Dobava, izrada i ugradba unutarnjih punih  jednokrilnih zaokretnih vrata.  Vrata 2. klase (Rw,min=25dB) ugrađuju se u otvore sanitarnih prostora. Gornji zatvarač vrata, cilindar s 3 ključa, obostrano kvaka.</t>
  </si>
  <si>
    <t>Dobava, izrada i ugradba unutarnjih punih  jednokrilnih zaokretnih vrata.  Vrata 2. klase (Rw,min=25dB) ugrađuju se u otvore zahodskih kabina.  Letir i pokazivač zauzetosti, obostrano kvaka.</t>
  </si>
  <si>
    <t>Vrata, unutarnja puna zaokretna jednokrilna s  POZ 1b</t>
  </si>
  <si>
    <t>Dobava, izrada i ugradba unutarnjih punih  jednokrilnih zaokretnih vrata.  Vrata 2. klase (Rw,min=25dB) ugrađuju se u otvore prostora s trokaderom. Cilindar s 3 ključa, obostrano kvaka.</t>
  </si>
  <si>
    <t>Dobava, izrada i ugradba unutarnjih punih  jednokrilnih zaokretnih vrata.  Vrata 2. klase (Rw,min=25dB) ugrađuju se u otvore prostora garederobe čistačice. Cilindar s 3 ključa, obostrano kvaka.</t>
  </si>
  <si>
    <t xml:space="preserve">Vrata dimenzija 90/210. </t>
  </si>
  <si>
    <t>Dobava, izrada i ugradba unutarnjih punih  jednokrilnih zaokretnih vrata.  Vrata 2. klase (Rw,min=25dB), cilindar s 3 ključa, obostrano kvaka.</t>
  </si>
  <si>
    <t>Vrata, unutarnja puna zaokretna jednokrilna s  POZ 3a</t>
  </si>
  <si>
    <t>Dobava, izrada i ugradba unutarnjih punih  jednokrilnih zaokretnih vrata.  Vrata 2. klase (Rw,min=25dB), cilindar s 3 ključa, obostrano kvaka. Vrata se ugrađuju u zid debljine 50cm, te imaju ''L'' dovratnik.</t>
  </si>
  <si>
    <t>Vrata, unutarnja puna zaokretna jednokrilna s  POZ 3b</t>
  </si>
  <si>
    <t>Vrata dimenzija 100/210, min svijetla širina 90cm.  Pristupačna kvaka. Cilindar s 3 ključa.</t>
  </si>
  <si>
    <t>Dobava, izrada i ugradba unutarnjih punih  jednokrilnih zaokretnih vrata.  Vrata 2. zvučne klase (Rw,min=25dB), cilindar s 3 ključa, obostrano kvaka.</t>
  </si>
  <si>
    <t xml:space="preserve">Dobava, izrada i ugradba unutarnjih punih  jednokrilnih zaokretnih vrata.  Vrata 2. zvučne klase (Rw,min=25dB) ugrađuju se u otvor sanitarnog čvora invalida. </t>
  </si>
  <si>
    <t>Dobava, izrada i ugradba unutarnjih punih  jednokrilnih zaokretnih vrata.  Vrata 1. zvučne klase (Rw,min=32dB) ugrađuju se u otvore izolacije i sobe voditelja. Cilindar s 3 ključa, obostrano kvaka.</t>
  </si>
  <si>
    <t>Dobava, izrada i ugradba unutarnjih punih  jednokrilnih zaokretnih vrata.  Rw,min=39dB.  Cilindar s 3 ključa, obostrano kvaka.</t>
  </si>
  <si>
    <t xml:space="preserve">Vrata dimenzija 100/210.  </t>
  </si>
  <si>
    <t xml:space="preserve">Vrata dimenzija 110/210. </t>
  </si>
  <si>
    <r>
      <t>Dobava, izrada i ugradba unutarnjih punih  jednokrilnih zaokretnih vrata.  Rw,min=39dB. Cilindar s 3 ključa, panik brava i panik kvaka. Krilo se otvara za 180</t>
    </r>
    <r>
      <rPr>
        <sz val="11"/>
        <rFont val="Calibri"/>
        <family val="2"/>
        <charset val="238"/>
      </rPr>
      <t>°</t>
    </r>
    <r>
      <rPr>
        <sz val="9.9"/>
        <rFont val="Calibri"/>
        <family val="2"/>
      </rPr>
      <t>.</t>
    </r>
  </si>
  <si>
    <t xml:space="preserve">Vrata dimenzija 110/210.  </t>
  </si>
  <si>
    <r>
      <t>Dobava, izrada i ugradba unutarnjih punih  jednokrilnih zaokretnih vrata.  Rw,min=37dB. Cilindar s 3 ključa, panik brava i panik kvaka. Krilo se otvara za 180</t>
    </r>
    <r>
      <rPr>
        <sz val="11"/>
        <rFont val="Calibri"/>
        <family val="2"/>
        <charset val="238"/>
      </rPr>
      <t>°</t>
    </r>
    <r>
      <rPr>
        <sz val="9.9"/>
        <rFont val="Calibri"/>
        <family val="2"/>
      </rPr>
      <t>.</t>
    </r>
  </si>
  <si>
    <t>Vrata, unutarnja puna zaokretna jednokrilna s  POZ 7b</t>
  </si>
  <si>
    <t>Dobava, izrada i ugradba unutarnjih punih  jednokrilnih zaokretnih vrata.  Vrata 1. klase (Rw,min=32dB). Cilindar s 3 ključa, obostrano kvaka. Krilo se otvara za 180°.</t>
  </si>
  <si>
    <t>Vrata, unutarnja puna zaokretna dvokrilna  POZ 8</t>
  </si>
  <si>
    <t>Dobava, izrada i ugradba unutarnjih punih dvokrilnih zaokretnih vrata. Otvor u zidu debljine 30cm. Rw,min=37dB. Cilindar s 3 ključa, panik brava i panik letva. Veliko krilo min. svijetlo 90cm, malo krilo je pomoćno.</t>
  </si>
  <si>
    <t xml:space="preserve">Vrata dimenzija 140/210.  </t>
  </si>
  <si>
    <t>A/ DRVENA STOLARIJA</t>
  </si>
  <si>
    <t>B/ SANITARNE PREGRADNE STIJENE</t>
  </si>
  <si>
    <t>Boje i strukture finalne obrade odredit će nadležni konzervatorski odjel i projektant. Cijenom obuhvatiti paletu tonova odabranog proizvođača cjenovno srednje tržišne klase. Potrebno je dostaviti minimalno 6 različitih uzoraka (tonova) za dovratnik i za HPL. HPL u jednom tonu (bez uzorka).</t>
  </si>
  <si>
    <t>Opći uvjeti za pregradne stijene:</t>
  </si>
  <si>
    <t>Opći uvjeti za stolarske radove:</t>
  </si>
  <si>
    <t xml:space="preserve">U cijenu po kom za sve stavke stolarskih radova uračunati izradu, dobavu i ugradbu, sav potreban okov - sve potrebno do pune fukcionalnosti. Cijena uključuje dopremu stavke na gradilište, stolarsku ugradnju, stolarsko spajanje kod ugradnje složenijih stavki sa svim potrebnim pomoćnim materijalom i priborom. U svemu prema shemama stolarije.   </t>
  </si>
  <si>
    <t xml:space="preserve">Pregrade se izvode iz ploča u jednom tonu. Izvođač je obvezan dostaviti uzorke ploča na odobrenje nadležnom konzervatorskom odjelu i projektantu, minimalno 6 uzoraka.  </t>
  </si>
  <si>
    <t>Dobava, izrada i ugradnja pregradnih stijena sanitarnih kabina s jednokrilnim zaokretnim vratima i jednim fiksnim poljem. Stijena je visine 210cm uključujući inox nogice visine 10 mm.  Vrata opremljena vješalicom za odlaganje odjeće i WC bravom i kuglom s naznakom položaja slobodno-zauzeto i mogućnošću sigurnosnog otvaranja izvana.</t>
  </si>
  <si>
    <t>Stijena dužine 96cm. Min svijetla širina vrata 70cm.</t>
  </si>
  <si>
    <t>Dobava, izrada i ugradnja pregradnih stijena dvaju sanitarnih kabina koje se sastoje od jedne stijene s 2 kom jednokrilnih zaokretnih vrata i dva fiksna polja, te druge fiksne stijene (pregrade između kabina). Stijena je visine 210cm uključujući inox nogice visine 10 mm.  Vrata opremljena vješalicom za odlaganje odjeće i WC bravom i kuglom s naznakom položaja slobodno-zauzeto i mogućnošću sigurnosnog otvaranja izvana.</t>
  </si>
  <si>
    <t>Fiksna stijena je dužine 158cm, a stijena s vratima je dužine  187cm. Min svijetla širina vrata 70cm.</t>
  </si>
  <si>
    <t>a/ fiksna stijena dužine 158cm</t>
  </si>
  <si>
    <t>b/ stijena s dva fiksna dijela i dvoja vrata, ukupne dužine 187cm</t>
  </si>
  <si>
    <t>Fiksna sanitarna pregrada, opis kao u prethodnoj stavci. Širina 27 cm.</t>
  </si>
  <si>
    <t>C/ OSTALO</t>
  </si>
  <si>
    <t>Drvena obloga zida u dvorani.</t>
  </si>
  <si>
    <t xml:space="preserve">Sve vatrootporne stavke izvesti kao tipske vatrootporne stavke, potrebne vatrootpornosti prema projektu. </t>
  </si>
  <si>
    <t>Zatvarači vrata se obvezno ugrađuju na protupožarna vrata i to zatvarači s certifikatom za PP vrata, kod 2-krilnih vrata ugraditi sustav 2 gornja zatvarača vrata s redoslijednikom zatvaranja. U ovisnosti o širini i težini krila treba izvršiti izbor zatvarača. Zatvarači trebaju imati mogućnost podešavanja brzine zatvaranja vrata, završnog udara i prigušenja otvaranja vrata te imati mogućnost otvaranja krila i za 180 stupnjeva gdje je to potrebno. Zatvarači trebaju imati funkciju thermomatik ventila ili sl. tehnologije koja osigurava jednakomjernu funkciju zatvaranja pri oscilacijama temperature.</t>
  </si>
  <si>
    <t>Stijena vanjska - POZ v1</t>
  </si>
  <si>
    <t xml:space="preserve">Izrada, dobava i ugradnja vanjske dvišedjelne prozorske stijene u otvor građevinskih dimenzija 324cm x 188cm. Stijena s zaokretnim, otklopnim i  otklopno-zaokretnim krilima, te nekoiko fiksnih polja.  Obračun po kom. 
</t>
  </si>
  <si>
    <t xml:space="preserve">Izrada, dobava i ugradnja vanjskog prozora u otvor građevinskih dimenzija 90cm x 95cm. Jedno otklopno-zaokretno krilo.  Obračun po kom. 
</t>
  </si>
  <si>
    <t>Prozor vanjski jednokrilni  - POZ v2</t>
  </si>
  <si>
    <t>Stijena vanjska  - POZ v3</t>
  </si>
  <si>
    <t xml:space="preserve">Izrada, dobava i ugradnja vanjske trokrilne prozorske stijene u otvor građevinskih dimenzija 275cm x 160cm. Sva krila otklopno-zaokretna. Vertikalni fiksni elementi između krila su veće širine. Obračun po kom. 
</t>
  </si>
  <si>
    <t>Vrata vanjska dvokrilna s nadsvjetlom i prozor - POZ v4 i v5</t>
  </si>
  <si>
    <t>Stijena prozorska višedjelna - POZ v6</t>
  </si>
  <si>
    <t>Stijena prozorska višedjelna - POZ v7</t>
  </si>
  <si>
    <t>Stijena prozorska višedjelna - POZ v8</t>
  </si>
  <si>
    <t>Stijena vanjska s vratima - POZ v9</t>
  </si>
  <si>
    <t>Prozor vanjski jednokrilni  - POZ v10</t>
  </si>
  <si>
    <t xml:space="preserve">Izrada, dobava i ugradnja vanjskog prozora u otvor građevinskih dimenzija 119cm x 119cm. Jedno otklopno-zaokretno krilo.  Obračun po kom. 
</t>
  </si>
  <si>
    <t>Prozor vanjski dvokrilni  - POZ v11</t>
  </si>
  <si>
    <t xml:space="preserve">Izrada, dobava i ugradnja vanjskog prozora u otvor građevinskih dimenzija 246cm x 119cm. Dva otklopno-zaokretna krila.  Obračun po kom. 
</t>
  </si>
  <si>
    <t>Stijena prozorska višedjelna - POZ v12</t>
  </si>
  <si>
    <t xml:space="preserve">Izrada, dobava i ugradnja vanjske višedjelne prozorske stijene u otvor građevinskih dimenzija 445cm x 204cm. Gornja krila su otklopna, a donja krila otklopno zaokretna.   Obračun po kom. 
</t>
  </si>
  <si>
    <t>Vanjska višedjelna stijena s dvokrilnim vratima - POZ v13</t>
  </si>
  <si>
    <t>Prozor vanjski višekrilni  - POZ v14</t>
  </si>
  <si>
    <t xml:space="preserve">Izrada, dobava i ugradnja vanjskog prozora u otvor građevinskih dimenzija 518cm x 110cm. Šest otklopno-zaokretnih krila.  Obračun po kom. 
</t>
  </si>
  <si>
    <t>Stijena prozorska višedjelna - POZ v15</t>
  </si>
  <si>
    <t>Stijena prozorska višedjelna - POZ v16</t>
  </si>
  <si>
    <t>Stijena prozorska višedjelna - POZ v17</t>
  </si>
  <si>
    <t>Stijena prozorska višedjelna - POZ v18</t>
  </si>
  <si>
    <t>Stijena vanjska s vratima - POZ v19</t>
  </si>
  <si>
    <t>Stijena prozorska višedjelna - POZ v20</t>
  </si>
  <si>
    <t xml:space="preserve">Izrada, dobava i ugradnja vanjske višedjelne prozorske stijene u otvor građevinskih dimenzija 340cm x 185cm. Gornja krila su otklopna, a donja krila otklopno zaokretna.   Obračun po kom. 
</t>
  </si>
  <si>
    <t>Vrata su opremljena sa tri para panta po krilu, panik okovom za pp vrata (ukoliko su na evakuacijskom putu), bravom sa jezičkom i cilindrom, te gornjim zatvaračem vratnog krila odabranom prema težini i geometriji vratnog krila. Cijenom okova obuhvatiti proizvođače cjenovno srednje tržišne klase.</t>
  </si>
  <si>
    <t>Završna obrada vrata i prozora plastificirano u tonu po izboru projektanta i konzervatora.</t>
  </si>
  <si>
    <t>Vrata, unutarnja puna jednokrilna (EI2 60-C)   - POZ 1</t>
  </si>
  <si>
    <t xml:space="preserve">Izrada, dobava i ugradnja unutarnjih jednokrilnih zaokretnih vrata. Rw,min=39 dB.  Cilindar s tri ključa. Dimenzije 110/210.  Obračun po kom. 
</t>
  </si>
  <si>
    <t>Vrata, unutarnja puna jednokrilna (EI2 60-C)   - POZ 1a</t>
  </si>
  <si>
    <t xml:space="preserve">Izrada, dobava i ugradnja unutarnjih jednokrilnih zaokretnih vrata.  Cilindar s tri ključa. Dimenzije 110/210.  Obračun po kom. 
</t>
  </si>
  <si>
    <t>Vrata, unutarnja puna jednokrilna (EI2 60-C)   - POZ 2</t>
  </si>
  <si>
    <t xml:space="preserve">Izrada, dobava i ugradnja unutarnjih jednokrilnih zaokretnih vrata.  Cilindar s tri ključa. Dimenzije 100/210.   Obračun po kom. 
</t>
  </si>
  <si>
    <t xml:space="preserve">Izrada, dobava i ugradnja unutarnjih jednokrilnih zaokretnih vrata. Rw,min=39 dB. Cilindar s tri ključa. Dimenzije 100/210.   Obračun po kom. 
</t>
  </si>
  <si>
    <t>Vrata, unutarnja puna jednokrilna (EI2 60-C)   - POZ 2a</t>
  </si>
  <si>
    <t>Prozor, vanjski ostakljeni s 4 fiksna polja (EW 60)   - POZ 3</t>
  </si>
  <si>
    <t xml:space="preserve">Izrada, dobava i ugradnja vanjskog prozora. Prozor ima 4 fiksna polja. Dimenzije 179/202. Min R'w = 32 dB, Uw=1,24 W/m2K, (Uw,dop=1,60 W/m2K) Uf=2,50 W/m2K, Ug=0,70 W/m2K, Ff=0,70, gokom.=0,41, Fc,H=1,00, Fc,C=0,75. Obračun po kom. 
</t>
  </si>
  <si>
    <t xml:space="preserve">Vratašca u stropu, unutarnja puna (EI60)   </t>
  </si>
  <si>
    <t xml:space="preserve">Izrada, dobava i ugradnja unutarnjih jednokrilnih vratašaca. Vratno krilo puno, zaokretno prema gore.  Vrata se ugrađuju u AB stropnu ploču i služe za pristup tavanskoj etaži.   Dimenzije 110/110.   Obračun po kom. 
</t>
  </si>
  <si>
    <t xml:space="preserve">Svi elementi u vanjskim prostorima moraju biti vruće cinčani. </t>
  </si>
  <si>
    <t xml:space="preserve">Izrada, dobava i ugradnja ograde i rukohvata unutarnjeg  stubišta.  Ograda iz plosnog čelika (vertikale, ispuna, rukohvat) pričvršćuje se za nosivu čeličnu konstrukciju stubišta.  Visina  od hodne plohe 100 cm.  Ličenje u RAL tonu prema izboru projektanta.  Obračun po m'. 
</t>
  </si>
  <si>
    <t xml:space="preserve">Ograda stubišta </t>
  </si>
  <si>
    <t xml:space="preserve">Izrada, dobava i ugradnja ograde i rukohvata vanjskog  stubišta.  Ograda iz plosnog čelika (vertikale, ispuna, rukohvat) pričvršćuje se za nosivu AB konstrukciju stubišta bočno.  Visina  od hodne plohe 100 cm.  Ličenje u RAL tonu prema izboru projektanta.  Obračun po m'. 
</t>
  </si>
  <si>
    <t>D/ CRNA BRAVARIJA</t>
  </si>
  <si>
    <t xml:space="preserve"> A/ ALUMINIJSKA BRAVARIJA - VANJSKA</t>
  </si>
  <si>
    <t xml:space="preserve"> B/ ALUMINIJSKA BRAVARIJA - UNUTARNJA</t>
  </si>
  <si>
    <t>Vrata unutarnja dvokrilna s fiksnim nadsvjetlom POZ 1</t>
  </si>
  <si>
    <t xml:space="preserve">Izrada, dobava i ugradnja unutarnjih dvokrilnih zaokretnih ostakljenih vrata s fiksnim nadsvjetlom. Panik okov (brava i panik kvaka) uključen u stavku. Min svijetla širina otvorenog glavnog krila 90cm. Rw,min=39 dB. Ugrađuje se u građ. otvor dimenzija 187cm x 277cm. Obračun po kom. 
</t>
  </si>
  <si>
    <t>Vrata unutarnja dvokrilna s fiksnim nadsvjetlom POZ 2</t>
  </si>
  <si>
    <t xml:space="preserve">Izrada, dobava i ugradnja unutarnjih dvokrilnih zaokretnih ostakljenih vrata s fiksnim nadsvjetlom. Panik okov (brava i panik kvaka) uključen u stavku. Min svijetla širina otvorenog glavnog krila 90cm. Rw,min=39 dB. Ugrađuje se u građ. otvor dimenzija 195cm x 277cm. Obračun po kom. 
</t>
  </si>
  <si>
    <t>Vrata unutarnja dvokrilna  POZ 3</t>
  </si>
  <si>
    <t xml:space="preserve">Izrada, dobava i ugradnja unutarnjih dvokrilnih zaokretnih ostakljenih vrata.  Min svijetla širina otvorenog glavnog krila 90cm. Rw,min=39 dB. Ugrađuje se u građ. otvor dimenzija 210cm x 210cm. Obračun po kom. 
</t>
  </si>
  <si>
    <t>Stijena, unutarnja ostakljena POZ 4</t>
  </si>
  <si>
    <t xml:space="preserve">Izrada, dobava i ugradnja unutarnje ostakljene stijene s jednim dvokrilnim zaokretnim ostakljenim vratima, s fiksnim nadsvjetlom i obostrano fiksnim bočnim poljima. Min svijetla širina otvorenog glavnog krila 90cm.  Ugrađuje se u građ. otvor dimenzija 308cm x 275cm. Obračun po kom. 
</t>
  </si>
  <si>
    <t>Vrata unutarnja dvokrilna s fiksnim nadsvjetlom POZ 5</t>
  </si>
  <si>
    <t>Vrata unutarnja dvokrilna s fiksnim nadsvjetlom POZ 6</t>
  </si>
  <si>
    <t xml:space="preserve">Izrada, dobava i ugradnja unutarnjih dvokrilnih zaokretnih ostakljenih vrata s fiksnim nadsvjetlom. Panik okov (brava i panik letve, redosljednk zatvaranja) uključen u stavku. Min. svijetla širina otvorenog glavnog krila 90cm. Ugrađuje se u građ. otvor dimenzija 215cm x 299cm. Obračun po kom. 
</t>
  </si>
  <si>
    <t xml:space="preserve"> C/ PROTUPOŽARNA BRAVARIJA</t>
  </si>
  <si>
    <t>Obračun po  m'.</t>
  </si>
  <si>
    <t>a/ obloga visine 117cm</t>
  </si>
  <si>
    <t>b/ obloga visine 104cm</t>
  </si>
  <si>
    <t>c/ obloga visine 91cm</t>
  </si>
  <si>
    <t>d/ obloga visine 78cm</t>
  </si>
  <si>
    <t>e/ obloga visine 65cm</t>
  </si>
  <si>
    <t>f/ obloga visine 52cm</t>
  </si>
  <si>
    <t>g/ obloga visine 39cm</t>
  </si>
  <si>
    <t>h/ obloga visine 26cm</t>
  </si>
  <si>
    <t>i/ obloga visine 13cm</t>
  </si>
  <si>
    <t>j/ obloga promjenjive visine od 16,7cm do 117cm</t>
  </si>
  <si>
    <t>k/ klupčica</t>
  </si>
  <si>
    <t>Dobava i ugradnja revizijskog stropnog okna sa sklopivim ljestvama za pristup tavanu. Min. dimenzije 80x80cm.</t>
  </si>
  <si>
    <t>Min. svijetla širina 70 cm! Vrata se učvršćuju u zid. Staklo neprozirno (pjeskareno ili mliječno). Staklo je sigurnosno, kaljeno i debljine min 8 mm. Staklo sa dodatnom zaštitom stakla (za lakše održavanje) - premaz kao dugotrajna zaštitna barijera na površini stakla koja  onemogućuje nastanak kamenca, odbija vodu i prljavštinu, a čišćenje površine čini lakšim. U kompletu okova uključeni su svi potrebni elementi (nosači, profili, brtve). Svi profili imaju srebreni sjaj.</t>
  </si>
  <si>
    <t>Izrada, dobava i ugradnja staklenih jednokrilnih zaokretnih vrata tuš kabina. Otvor dimenzija 80/210.</t>
  </si>
  <si>
    <t>Prozor unutarnji podizni POZ 8</t>
  </si>
  <si>
    <t xml:space="preserve">Izrada, dobava i ugradnja unutarnjeg jednokrilnog podiznog prozora. Prozor ima bočne vertikalne vodilice i pri otvaranju kliže prema gore - ima mogućnost zadržavanja u otvorenom položaju. Ugrađuje se u građ. otvor dimenzija 86cm x 84cm. Obračun po kom. 
</t>
  </si>
  <si>
    <t>Sklop od tri unutarnje stijene POZ 7</t>
  </si>
  <si>
    <t xml:space="preserve">Izrada, dobava i ugradnja sklopa od tri unutarnja stijene koje tlocrtno formiraju slovo H - prema nacrtu u shemi. U svakoj stijeni su po dva zaokretna vratna krila (glavno i sporedno), a ostatak stijene su fiksna polja. Dio fiksnih polja je ostakljen, a dio puni;  u dvoma vratima obostrano kvaka te cilindar s 3 ključa, a u jednim vratima se ugrađuje panik brava i panik letve na oba krila + redosljednik zatvaranja.  Min. svijetla širina glavnog krila 90cm.  Dimenzije stijena:  619/275cm   +   618/275cm   +  363/275cm. Obračun po kom. 
</t>
  </si>
  <si>
    <t>Za sve stavke vrijede slijedeći uvjeti osim ukoliko u samoj stavci nije navedeno drugačije:</t>
  </si>
  <si>
    <t>U pregradnim stijenama ugrađuju se  vrata, a koja su obračunata u stolarskim ili u bravarskim radovima.</t>
  </si>
  <si>
    <r>
      <t xml:space="preserve">R'w </t>
    </r>
    <r>
      <rPr>
        <sz val="11"/>
        <rFont val="Aptos Narrow"/>
        <family val="2"/>
      </rPr>
      <t>≥</t>
    </r>
    <r>
      <rPr>
        <sz val="11"/>
        <rFont val="Calibri"/>
        <family val="2"/>
      </rPr>
      <t xml:space="preserve"> 44 dB.</t>
    </r>
  </si>
  <si>
    <t>Jedinična cijena stavke obuhvaća dobavu i montažu tipske metalne podkonstrukcije, montažu ravnih gipsanih ploča, ugradnju potrebnih ojačanja i obrade oko elemenata koji se ugrađuju u pregradnoj stijeni, te meku mineralnu vunu u debljini od 5 cm.</t>
  </si>
  <si>
    <t xml:space="preserve">Visina prostora od 3,0m do 3,40m. </t>
  </si>
  <si>
    <t xml:space="preserve">Potkonstrukcija je od čeličnih CW profila širine 5 cm i obostrano se oblaže dvostrukom oblogom od gipskartonskih ploča d= 1,25 cm. U međuprostor se postavlja 5 cm meke mineralne vune. </t>
  </si>
  <si>
    <t xml:space="preserve">Potkonstrukcija je od čeličnih CW profila širine 7,5 cm i obostrano se oblaže dvostrukom oblogom od gipskartonskih ploča d= 1,25 cm. U međuprostor se postavlja 5 cm meke mineralne vune. </t>
  </si>
  <si>
    <t xml:space="preserve">Potkonstrukcija je od čeličnih CW profila širine 10 cm i obostrano se oblaže dvostrukom oblogom od gipskartonskih ploča d= 1,25 cm. U međuprostor se postavlja 5 cm meke mineralne vune. </t>
  </si>
  <si>
    <t xml:space="preserve">Potkonstrukcija je od čeličnih CW profila širine 10 cm i obostrano se oblaže dvostrukom oblogom od gipskartonskih ploča d= 1,25 cm. U međuprostor se postavlja 10 cm meke mineralne vune. </t>
  </si>
  <si>
    <r>
      <t xml:space="preserve">R'w </t>
    </r>
    <r>
      <rPr>
        <sz val="11"/>
        <rFont val="Aptos Narrow"/>
        <family val="2"/>
      </rPr>
      <t>≥</t>
    </r>
    <r>
      <rPr>
        <sz val="11"/>
        <rFont val="Calibri"/>
        <family val="2"/>
      </rPr>
      <t xml:space="preserve"> 52 dB.</t>
    </r>
  </si>
  <si>
    <t>Jedinična cijena stavke obuhvaća dobavu i montažu tipske metalne podkonstrukcije, montažu ravnih gipsanih ploča, ugradnju potrebnih ojačanja i obrade oko elemenata koji se ugrađuju u pregradnoj stijeni, te meku mineralnu vunu.</t>
  </si>
  <si>
    <t>Sve izvesti s originalnim materijalom i elementima, te prema uputama proizvođača.</t>
  </si>
  <si>
    <r>
      <rPr>
        <b/>
        <sz val="11"/>
        <rFont val="Calibri"/>
        <family val="2"/>
        <scheme val="minor"/>
      </rPr>
      <t>Dobava materijala, izrada i postava tipskih pregradnih stijena, ukupne debljine d=15 cm</t>
    </r>
    <r>
      <rPr>
        <sz val="11"/>
        <rFont val="Calibri"/>
        <family val="2"/>
        <scheme val="minor"/>
      </rPr>
      <t xml:space="preserve">, iz dvostrukih gipskartonskih ploča, obostrano, na jednostrukoj tipskoj metalnoj podkonstrukciji. </t>
    </r>
    <r>
      <rPr>
        <b/>
        <sz val="11"/>
        <rFont val="Calibri"/>
        <family val="2"/>
        <charset val="238"/>
        <scheme val="minor"/>
      </rPr>
      <t>(GZ2)</t>
    </r>
  </si>
  <si>
    <r>
      <rPr>
        <b/>
        <sz val="11"/>
        <rFont val="Calibri"/>
        <family val="2"/>
        <scheme val="minor"/>
      </rPr>
      <t>Dobava materijala, izrada i postava tipskih pregradnih stijena, ukupne debljine d=15 cm</t>
    </r>
    <r>
      <rPr>
        <sz val="11"/>
        <rFont val="Calibri"/>
        <family val="2"/>
        <scheme val="minor"/>
      </rPr>
      <t xml:space="preserve">, iz dvostrukih gipskartonskih ploča, obostrano, na jednostrukoj tipskoj metalnoj podkonstrukciji. </t>
    </r>
    <r>
      <rPr>
        <b/>
        <sz val="11"/>
        <rFont val="Calibri"/>
        <family val="2"/>
        <charset val="238"/>
        <scheme val="minor"/>
      </rPr>
      <t>(GZ1)</t>
    </r>
  </si>
  <si>
    <r>
      <rPr>
        <b/>
        <sz val="11"/>
        <rFont val="Calibri"/>
        <family val="2"/>
        <scheme val="minor"/>
      </rPr>
      <t>Dobava materijala, izrada i postava tipskih pregradnih stijena, ukupne debljine d=12,5 cm</t>
    </r>
    <r>
      <rPr>
        <sz val="11"/>
        <rFont val="Calibri"/>
        <family val="2"/>
        <scheme val="minor"/>
      </rPr>
      <t xml:space="preserve">, iz dvostrukih gipskartonskih ploča, obostrano, na jednostrukoj tipskoj metalnoj podkonstrukciji. </t>
    </r>
    <r>
      <rPr>
        <b/>
        <sz val="11"/>
        <rFont val="Calibri"/>
        <family val="2"/>
        <charset val="238"/>
        <scheme val="minor"/>
      </rPr>
      <t>(GZ1)</t>
    </r>
  </si>
  <si>
    <r>
      <rPr>
        <b/>
        <sz val="11"/>
        <rFont val="Calibri"/>
        <family val="2"/>
        <scheme val="minor"/>
      </rPr>
      <t>Dobava materijala, izrada i postava tipskih pregradnih stijena, ukupne debljine d=10 cm</t>
    </r>
    <r>
      <rPr>
        <sz val="11"/>
        <rFont val="Calibri"/>
        <family val="2"/>
        <scheme val="minor"/>
      </rPr>
      <t xml:space="preserve">, iz dvostrukih gipskartonskih ploča, obostrano, na jednostrukoj tipskoj metalnoj podkonstrukciji. </t>
    </r>
    <r>
      <rPr>
        <b/>
        <sz val="11"/>
        <rFont val="Calibri"/>
        <family val="2"/>
        <charset val="238"/>
        <scheme val="minor"/>
      </rPr>
      <t>(GZ1)</t>
    </r>
  </si>
  <si>
    <t>Potkonstrukcija je dvostruka, od čeličnih CW profila širine 7,5 cm i obostrano se oblaže dvostrukom oblogom od gipskartonskih ploča d= 1,25 cm. U međuprostor se postavlja 5 cm meke mineralne vune. Mineralna vuna za pregradne zidove 15 kg/m3.</t>
  </si>
  <si>
    <t xml:space="preserve">Visina prostora do 3,40m. </t>
  </si>
  <si>
    <t xml:space="preserve">Potkonstrukcija od čeličnih CW profila širine 5 cm jednostrano se oblaže dvostrukom oblogom od gipskartonskih ploča d= 1,25 cm. </t>
  </si>
  <si>
    <t xml:space="preserve">Potkonstrukcija od čeličnih CW profila širine 5 cm jednostrano se oblaže dvostrukom oblogom od gipskartonskih ploča d= 1,25 cm. U međuprostor se postavlja 5 cm meke mineralne vune. </t>
  </si>
  <si>
    <t xml:space="preserve">Potkonstrukcija od čeličnih CW profila širine 5 cm jednostrano se oblaže dvostrukom oblogom od gipskartonskih ploča d= 1,25 cm. U međuprostor se postavlja 5 cm mineralne vune. </t>
  </si>
  <si>
    <t xml:space="preserve">Stavka se izvodi na zidovima zidanim opekom ili iz AB. Potkonstrukcija od čeličnih CD i CU profila   se oblaže dvostrukom oblogom od gipskartonskih ploča d= 1,25 cm. U međuprostor se postavlja 3 cm mineralne vune. </t>
  </si>
  <si>
    <r>
      <rPr>
        <b/>
        <sz val="11"/>
        <rFont val="Calibri"/>
        <family val="2"/>
        <scheme val="minor"/>
      </rPr>
      <t>Dobava materijala, izrada i postava tipskih pregradnih stijena, ukupne debljine d=12,5 cm</t>
    </r>
    <r>
      <rPr>
        <sz val="11"/>
        <rFont val="Calibri"/>
        <family val="2"/>
        <scheme val="minor"/>
      </rPr>
      <t xml:space="preserve">, iz dvostrukih gipskartonskih ploča, obostrano, na jednostrukoj tipskoj metalnoj podkonstrukciji. </t>
    </r>
    <r>
      <rPr>
        <b/>
        <sz val="11"/>
        <rFont val="Calibri"/>
        <family val="2"/>
        <charset val="238"/>
        <scheme val="minor"/>
      </rPr>
      <t>(GZ3)</t>
    </r>
  </si>
  <si>
    <t xml:space="preserve">Potkonstrukcija je od čeličnih CW profila širine 7,5 cm i obostrano se oblaže dvostrukom oblogom od gipskartonskih ploča d= 1,25 cm. U međuprostor se postavlja 5 cm meke mineralne vune (30 kg/m3). </t>
  </si>
  <si>
    <t xml:space="preserve">Jednostruka potkonstrukcija od čeličnih CW profila širine 10 cm obostrano se oblaže dvostrukom oblogom od protupožarnih ploča (ili gipskartonskih ploča - ovisno o odabranom sustavu odabranog proizvođača) min. d= 1,25 cm. U međuprostor se postavlja 10 cm mineralne vune reakcije na požar A1. </t>
  </si>
  <si>
    <t>Jedinična cijena stavke obuhvaća dobavu i montažu tipske metalne podkonstrukcije, montažu ravnih ploča, ugradnju potrebnih ojačanja i obrade oko elemenata koji se ugrađuju u pregradnoj stijeni, te mineralnu vunu. Također je uključena i izrada kutija oko elemenata koji se ugrađuju u stijenu (utičnice, rasvjeta i sl.) prema uputi odabranog proizvođača sustava.</t>
  </si>
  <si>
    <t>Potkonstrukcija od čeličnih CW profila širine 10 cm jednostrano se oblaže dvostrukom oblogom od protupožarnih ploča d= 1,5 cm. U međuprostor se postavlja 5 cm mineralne vune gustoće 15 kg/m3, reakcija na požar A1.</t>
  </si>
  <si>
    <t xml:space="preserve">Potkonstrukcija pregrade se pričvršćuje na čeličnu potkonstrukciju oko ventilacijskih kanala. Čelična potkonstrukcija je izrađena kao bravarska stavka, te obračunata u zasebnoj stavci.  Visina pregrade do 3,40m. </t>
  </si>
  <si>
    <t>Metalna potkonstrukcija obloge fiksira se na neožbukane zidove iz opeke ili ab, ili gipskartonsku pregradu.</t>
  </si>
  <si>
    <t>c/ školjka</t>
  </si>
  <si>
    <r>
      <rPr>
        <b/>
        <sz val="11"/>
        <rFont val="Calibri"/>
        <family val="2"/>
        <scheme val="minor"/>
      </rPr>
      <t>Dobava i postava UA profila na mjestima otvora vrata</t>
    </r>
    <r>
      <rPr>
        <sz val="11"/>
        <rFont val="Calibri"/>
        <family val="2"/>
        <scheme val="minor"/>
      </rPr>
      <t>. UA100 profili se postavljaju u utične kutnike koji su pričvrščeni za međukatnu konstrukciju. Visina ugradnje do 3,40 m. Pri izradi držati se smjernica proizvođača. Obračun po kom vrata uz koja se profili ugrađuju.</t>
    </r>
  </si>
  <si>
    <t>b/ vrata š= 90 cm</t>
  </si>
  <si>
    <t>c/ vrata š= 100 cm</t>
  </si>
  <si>
    <t>d/ vrata š= 110 cm</t>
  </si>
  <si>
    <t>e/ vrata š= 210 cm</t>
  </si>
  <si>
    <t>a/ glatki strop</t>
  </si>
  <si>
    <t>b/ akustički strop</t>
  </si>
  <si>
    <r>
      <t>Opis kao u prethodnoj stavci, osim što je: visina stropa na više od 3,0m od poda (do maks. 3,40cm), visina</t>
    </r>
    <r>
      <rPr>
        <sz val="11"/>
        <rFont val="Calibri"/>
        <family val="2"/>
        <charset val="238"/>
        <scheme val="minor"/>
      </rPr>
      <t xml:space="preserve"> ovjesa 44cm do 54cm. </t>
    </r>
  </si>
  <si>
    <t xml:space="preserve">Dobava, nabava i ugradnja podignutog podnog sustava s jednoslojnim gipsvlaknastim nosivim pločama, debljine  28 mm, koje mogu preuzeti opterećenje od 4,0 kN prema EN 13213, s tipskim pocinčanim podesivim vertikalnim nosačima (nogice), pričvršćenim za AB tlačnu ploču stropa, uključivo potporne i izolacijske podloške. Dimenzije ploča su do 1200×600 mm. Tipski vertikalni nosači  s potrebnim promjerom i tipom potpornja - glave, visine do 65 cm. Uključivo OBAVEZNO pričvrščivanje vert.nosača tiplama u podlogu, dijagonale za stabilizaciju poda, te rubna horizontalna i kosa učvršćenja. U stavci je uključeno i  grundiranje i zaravnavanje AB površine prije postave ukoliko je potrebno.
U okviru stavke nuditi nabavu i ugradnju  tipskih revizijskih poklopaca s okvirom 60x60 cm.
 U cijenu su uključene i izolacione trake i al.prelazni profili. U stavku je uključena ugradnja do pune gotovosti poda tako da je spreman za polaganje/ ljepljenje završne obloge poda (ker.pl., parket, PVC pod). 
U cijenu uključeno odgovarajuće impregniranje za vlažne prostore. Izvođač prije ugradnje treba dostaviti dokaz o ispunjavanju traženih zahtjeva.
Obračun po m2 izvedene podne obloge. </t>
  </si>
  <si>
    <t>a/ pod, visina konstrukcije 66 cm</t>
  </si>
  <si>
    <t>Nosiva potkonstrukcija se učvršćuje za nosivu stropnu konstrukciju iz armiranog betona.</t>
  </si>
  <si>
    <t>Donja kota blende od donje kote AB stropa do maks. 75cm.  Ploha koja se oblaže gipskartonskim pločama visine do 60cm.</t>
  </si>
  <si>
    <t>Radna skela bez obzira na visinu uračunata je u jediničnu cijenu. AB stropna ploča za koju se pričvršćuje potkonstrukcija je na visini većoj od 3m.</t>
  </si>
  <si>
    <t>Obračun po m² kompletno izvedene vidljive blende (dakle dijela koji je obložen pločama).</t>
  </si>
  <si>
    <t>a/ glatke ploče</t>
  </si>
  <si>
    <t>b/ akustičke ploče</t>
  </si>
  <si>
    <t>Različitih visina ovješenja do 35 cm. Strop na visini do 3,0 m, vješa se o nosivu stropnu AB konstrukciju na visini do 3,2m.</t>
  </si>
  <si>
    <t>Drvena obloga extra klase. Daščani pod vrlo pravilne strukture, radijanog reza, sa sržnim trakovima, vrlo ujednačene boje, bez kvržica i bez bjelike, bez pukotina, ivera i kosih niti u strukturi drveta. Tehničke karakteristike potrebno dokazati odgovarajućom atestnom dokumentacijom.</t>
  </si>
  <si>
    <r>
      <t>Prije ugradnje obavezna dostava uzoraka poda projektantu na odabir i odobrenje. Drvena obloga se dostavlja i ugrađuje sa srednjom vlažnosti drveta koja odgovara sobnoj klimi od 20 do 22</t>
    </r>
    <r>
      <rPr>
        <sz val="11"/>
        <rFont val="Calibri"/>
        <family val="2"/>
        <charset val="238"/>
      </rPr>
      <t>°</t>
    </r>
    <r>
      <rPr>
        <sz val="11"/>
        <rFont val="Calibri"/>
        <family val="2"/>
        <scheme val="minor"/>
      </rPr>
      <t>C s relativnom vlažnosti zraka od cca
50%.</t>
    </r>
  </si>
  <si>
    <t>Oblaganje podesta, gazišta i čela stuba hrastovim masivom.</t>
  </si>
  <si>
    <t>a/ gazišta 29 cm x 120 cm</t>
  </si>
  <si>
    <t>b/ čela cca 17 cm x 120 cm</t>
  </si>
  <si>
    <t>c/ podest (tlocrtno cca 87 cm x 120 cm)</t>
  </si>
  <si>
    <t>Obračun po m2 podesta i komadu obloge za gazišta i čela.</t>
  </si>
  <si>
    <t>Izvodi se iz hrastovog masiva debljine 4cm. U stavci uključena i izrada radioničkog nacrta. Radionički nacrt je potrebno dostaviti na odobrenje projektantu. Podesti i gazišta završno lakirani parketarskim polumat lakom u minimalno tri sloja - isti lak kao i na parketima. Plohe se pričvršćiju za konstrukciju stubišta vijcima s donje strane (tako da se s vanjske strane se vide).</t>
  </si>
  <si>
    <t xml:space="preserve">Dobava i ugradnja masivne hrastove rubne ''lajsne'' na rubu pozornice. </t>
  </si>
  <si>
    <t>'Lajsna'' je gornjom kotom u nivou parketa, s prepusom od nekoliko centimetara kako bi prekrila drvenu oblogu zida (drvena obloga je u zasebnoj stavci u stolarskim radovima). Širina lajsne 12cm. Debljina lajsne 4cm.</t>
  </si>
  <si>
    <t>Vrsta masiva ista kao i za parkete. Završno lakirano istim lakom kao i parket.</t>
  </si>
  <si>
    <t>S gornje strane se postavlja klupčica iz hrastovog masiva, obrađena na isti način. Klupčica visine 4cm, te širine kao najisturenija letvica, cca 6-8 cm.</t>
  </si>
  <si>
    <t>Hrastov parket najviše klase, polaganje u uzorak riblje kosti. Letvice min. dimenzija 7x50cm.</t>
  </si>
  <si>
    <r>
      <t xml:space="preserve">Dobava i ugradnja </t>
    </r>
    <r>
      <rPr>
        <b/>
        <sz val="11"/>
        <rFont val="Calibri"/>
        <family val="2"/>
        <scheme val="minor"/>
      </rPr>
      <t>taktilnih oznaka</t>
    </r>
    <r>
      <rPr>
        <sz val="11"/>
        <rFont val="Calibri"/>
        <family val="2"/>
        <scheme val="minor"/>
      </rPr>
      <t xml:space="preserve"> (polja upozorenja i linije vođenja) na podnim oblogama iz keramičkih pločica. </t>
    </r>
  </si>
  <si>
    <t xml:space="preserve">Izvode se u skladu s Tehničkim propisom o osiguranju pristupačnosti građevina osobama s invaliditetom i smanjene pokretljivosti (NN 12/23). Taktilne površine (oznake) izvode se pojedinačnim elementima taktilnih površina (samostalni čepovi kružnog promjera i trake)  ukupne širine minimalno 40 cm.  Elementi taktilnih površina su iz PVC-a , izvode se tako da su izdignuti od površine maksimalno 5 mm, sa skošenim rubovima, ne zadržavaju vodu, ni prljavštinu, lako se čiste i održavaju. </t>
  </si>
  <si>
    <t>Izvedba u svemu prema smjernicama proizvođača i nacrtima u izvedbenom projektu - pristupačnost. Uzorke taktilnih oznaka obavezno dostaviti na odobrenje projektantu i konzervatorskom nadzoru.</t>
  </si>
  <si>
    <t xml:space="preserve"> - taktilno polje upozorenja (širine min 40cm) s užljebljenjima okomito na smjer kretanja u skladu s čl.9 Tehničkog propisa - na početku i kraju stubišnog kraka</t>
  </si>
  <si>
    <t>Na gazištima urezati utor u koji se umeće traka (metalna lajsna) iz mesinga.</t>
  </si>
  <si>
    <t>b/ lajsna</t>
  </si>
  <si>
    <t>PVC podna obloga se postavlja na cementni estrih obračunat u zasebnoj stavci.</t>
  </si>
  <si>
    <t xml:space="preserve">Stavka podrazumjeva kompletan materijal, sva pričvrsna i spojna sredstva, rad i potreban alat do potpune gotovosti. </t>
  </si>
  <si>
    <t>Podlogu pripremiti prema uputama tehnologa odabranog tapisona.</t>
  </si>
  <si>
    <t>Obloga se postavlja u gledalištu dvorane.</t>
  </si>
  <si>
    <t>Strukturirani tepih u roli, težina flora cca 1250 g/m2, sastav: 100% regenerirani bojani najlon. Taftirani tepih, ravno rezana petlja, ukupna debljina cca 8mm, visina flora cca 5,5mm. Izolacija od udarne buke Lw 27dB. Klasa habanja 33.</t>
  </si>
  <si>
    <t>PVC sportska podna obloga debljine 2 mm, u roli širine 1,50 m. Obloga površinski tretirana zaštitom koja osigurava da površina poda nije klizajuća ni blokirajuća, te da je smanjena mogućnost ozljeda prouzročenih trenjem uslijed pada na podlogu, te koja omogućava jednostavno čišćenje i održavanje. Podna obloga se punoplošno lijepi na suhu, čvrstu i ravnu podlogu, a spojevi između rola se vare elektrodom. Dostaviti min 6 različitih uzoraka na odabir projektantu.</t>
  </si>
  <si>
    <t>Po rubu prostora uz zid se postavlja HDF lajsna presvučena termoplastičnim polimerom. Gornji i donji rub lajsne ima meki elastični završetak kako bi prionuo uz pod i zid bez potrebe za dodatnim silikoniziranjem (ili zapunjavanjem šupljine između zida i lajsne zbog neravnina zida na neki drugi način). Lajsna se u uglovima spaja na ‘’gerung’’, a postavlja lijepljenjem. Visina lajsne 8-10 cm. RAL ton u skladu s podnom oblogom. Dostaviti  uzorak na odobrenje projektantu.</t>
  </si>
  <si>
    <t>Višeslojna, fleksibilna PVC podna obloga u roli  ukupne debljine 2 mm s kalendiranim homogenim nosivim slojem debljine &gt; 1 mm od čistog PVC-a (bez punila i aditiva) što joj daje iznimu otpornost na habanje – grupa T, klasa 34-43. Obloga mora biti iznimno otporna na mrlje, prljavština se ne smije upijati u oblogu, nego mora ostajati na površini. Obloga mora biti takva da se može čistiti samo s vodom i neutralnim deterdžentom i da ju nije potrebno nikada laštiti. Obloga s antibakterijskim i antiviralnim svojstvima. Dostaviti min 6 različitih uzoraka na odabir projektantu.</t>
  </si>
  <si>
    <t>Na dio zidova po obodu prostora se postavljaju drvene obloge i uz te zidove nije potrebno postavljati rubnu lajsnu, a uz druge zidove se postavlja rubna lajsna iz hrastovog masiva - obuhvaćena u sklopu parketarskih radova.</t>
  </si>
  <si>
    <t>Dobava i postava  kutnih letvica min dim. 2x10 cm od hrastovine ekstra klase. Letvice se učvršćuju vijcima i plastičnim ulošcima u zid. Postavlja se u svim prostorima u kojima su na podu parketi, te u gornjem dijelu gledališta obloženog tapisonom (dio zidova na kojima nije drvena obloga). Uključivo sav pomoćni materijal i lakiranje letvica kao u stavci parketa.</t>
  </si>
  <si>
    <t>Tapison se postavlja na podu gledališta dvorane. Gledalište se stepenasto spušta prema pozornici - tapisonom se oblažu i čela i gazišta stuba.</t>
  </si>
  <si>
    <t xml:space="preserve">Dobava i postavljanje protukliznih traka na gazišta drvenih stuba. </t>
  </si>
  <si>
    <t>Dobava i izrada nove nosive drvene krovne konstrukcije.</t>
  </si>
  <si>
    <t>Konstrukciju čine nazidnice (postavljene na AB zidove) i rogovi.</t>
  </si>
  <si>
    <t>Dobava i izrada nove nosive drvene krovne konstrukcije krovova malog nagiba.</t>
  </si>
  <si>
    <t xml:space="preserve">Postavlja se na AB konzolnim pločama i istacima vijenca na kojima se kao pokrov ostavlja falcani lim obuhvaćen zasebnom stavkom. </t>
  </si>
  <si>
    <t>Obračun po m3 drvene građe.</t>
  </si>
  <si>
    <t>Obračun po m2 podaskane plohe.</t>
  </si>
  <si>
    <t>Za razradu detalja izvedbe nosive krovne konstrukcije potrebna je izrada radioničko - tehnološke dokumentacije  (razina izvedbenog projekta), koju izrađuje izvođač radova - ovisno o tehnologiji izvođenja radova koju planira i može primijeniti u konkretnom slučaju. Izvođač radioničku dokumentaciju dostavlja projektantu konstrukcije na pregled i suglasnost da je ista izrađena u skladu s glavnim projektom konstrukcije. Radioničkom dokumentacijom je potrebno definirati detalje za izvedbu,  sa razradom spojeva i priključaka novih konstruktvnih elemenata na postojeće, a koji se mogu prilagoditi tehnološkim zahtjevima izvođača s obzirom na transport i montažu. Po definiranju konačnih izmjera svih elemenata potrebno je provesti proračun spojeva. Radionička dokumentacija mora biti ovjerena od strane ovlaštenog projektanta kojeg je odabrao izvođač.</t>
  </si>
  <si>
    <t>Po izradi radioničke dokumentacije izvođač istu dostavlja projektantu na pregled.</t>
  </si>
  <si>
    <t xml:space="preserve">Obračun po m2 - ortogonalne projekcije površine krovne konstrukcije. </t>
  </si>
  <si>
    <t>prijenose,  prijevoz,  dizanje, utovar i  istovar  materijala unutar  gradilišta.</t>
  </si>
  <si>
    <t>Dobava, nabava materijala, postava i izvedba svih slojeva ETICS toplinskog sustava zida u sustavu mineralne vune i mineralne pročeljne žbuke.</t>
  </si>
  <si>
    <t>Sve podstavke(materijali) moraju biti međusobno kompatibilne, u sustavu proizvoda odabranog dobavljača materijala.</t>
  </si>
  <si>
    <t>Izvodi se u skladu s tehničkim uputama nominiranog materijala (jediničnom cijenom obuhvatite sve radnje do pune gotovosti).</t>
  </si>
  <si>
    <t>Obračun po m2 izolirane površine:</t>
  </si>
  <si>
    <t xml:space="preserve">a/ mineralna vuna ploče, d=15 cm </t>
  </si>
  <si>
    <t xml:space="preserve">b/ mineralna vuna ploče, d=5 cm </t>
  </si>
  <si>
    <t>c/ polimercementni mort, armiran alkalnom mrežicom</t>
  </si>
  <si>
    <t>Izvedba ETICS sustava s završnom fasadnom žbukom.</t>
  </si>
  <si>
    <t>Izvedba ETICS sustava s završnom oblogom keramikom.</t>
  </si>
  <si>
    <t>Dobava, nabava materijala, postava i izvedba svih slojeva ETICS toplinskog sustava zida u sustavu mineralne vune i završne obloge keramičkim fasadnim pločicama.</t>
  </si>
  <si>
    <t>Izvodi se na zidovima VZ2 i VZ5.</t>
  </si>
  <si>
    <t>Izvodi se od ploča mineralne vune – ploče za kontaktne sustave minimalnih tehničkih karakteristika: toplinska provodljivost λ=0,035W/mK, težina 80kg/m3, reakcija na požar A1, debljina 15 cm.</t>
  </si>
  <si>
    <t>Izvodi se od ploča mineralne vune – ploče za kontaktne sustave minimalnih tehničkih karakteristika: toplinska provodljivost λ=0,035W/mK, težina 80kg/m3, reakcija na požar A1, debljina 15 cm, odnosno 5cm na špaletama.</t>
  </si>
  <si>
    <t>Na ploče se nanosi visokoelastično ljepilo dvostruko armirano alkalno otpornom mrežicom te u njega lijepe fasadne keramičke ploče.</t>
  </si>
  <si>
    <r>
      <t>Fasadne keramičke pločice dimenzija 6,5cm x 25cm (</t>
    </r>
    <r>
      <rPr>
        <sz val="11"/>
        <rFont val="Aptos Narrow"/>
        <family val="2"/>
      </rPr>
      <t>±</t>
    </r>
    <r>
      <rPr>
        <sz val="11"/>
        <rFont val="Calibri"/>
        <family val="2"/>
        <charset val="238"/>
      </rPr>
      <t xml:space="preserve">15%) postavljaju se na fasadi horizontalno s pomakom od pola dužine pločice između dva susjedna reda - kako bi fasada izgledala kao neožbukani zid zidan opekom. </t>
    </r>
  </si>
  <si>
    <t>Fuge između pločica 6-10mm. Horizontalne fuge malo udubiti u odnosu na plohu pločica, a vertikalne ostaviti u ravnini pločica.</t>
  </si>
  <si>
    <t>Mort za polaganje i mort za spojnice u sustavu proizvođača keramičkih ploča.</t>
  </si>
  <si>
    <t>Sve podstavke (materijali) moraju biti međusobno kompatibilne, u sustavu proizvoda odabranog dobavljača materijala.</t>
  </si>
  <si>
    <t>Jediničnom cijenom obuhvatite sve radnje do pune gotovosti.</t>
  </si>
  <si>
    <t>Obračun po m2 površine kompletno izvedenog opisanog sustava.</t>
  </si>
  <si>
    <t>a/ površina kompletno izvedenog opisanog sustava</t>
  </si>
  <si>
    <t xml:space="preserve">b/ uglovna obloga (uz špalete) </t>
  </si>
  <si>
    <t>Obračun po m2 površine kompletno izvedenog opisanog sustava, odnosno po m' uglovne obloge (uz špalete).</t>
  </si>
  <si>
    <t>Izvedba ventiliranog fasadnog sustava s završnom drvenom oblogom.</t>
  </si>
  <si>
    <t>Izvodi se na zidovima VZ4.</t>
  </si>
  <si>
    <t>Dobava, nabava materijala, postava i izvedba svih slojeva ventiliranog fasadnog sustava.</t>
  </si>
  <si>
    <t>Izvodi se od ploča mineralne vune kaširanih staklenim voalom minimalnih tehničkih karakteristika: toplinska provodljivost λ=0,035W/mK, težina 50kg/m3, reakcija na požar A1, debljina 15 cm.</t>
  </si>
  <si>
    <t>Preko mineralne vune se postavlja paropropusna vodonepropusna folija, te na razmaku od 4cm (ventilirani sloj) se postavlja drvena obloga na aluminijskoj potkonstrukciji.</t>
  </si>
  <si>
    <t>Drvena obloga se postavlja na potkonstrukciju vertikalno.</t>
  </si>
  <si>
    <t>Sve podstavke (materijali) moraju biti međusobno kompatibilni.</t>
  </si>
  <si>
    <t>Izvedba fasadnog sustava s završnom drvenom oblogom.</t>
  </si>
  <si>
    <t>Izvodi se na južnom zabatu sjevernog krila.</t>
  </si>
  <si>
    <t>Aluminijska potkonstrukcija se pričvršćuje za nosivu krovnu konstrukciju. Na aluminijsku potkonstrukciju se postavlja drvena fasadna obloga u svemu kao obloga opisana u prethodnoj stavci.</t>
  </si>
  <si>
    <t>Nije potrebno postavljati mineralnu vunu.</t>
  </si>
  <si>
    <t xml:space="preserve">Pločice I klase, retificirane. Dimenzije  pločica kvadratne 60-80x60-80 cm.  Protukliznost pločica je R9. </t>
  </si>
  <si>
    <t>Suhi prostori.</t>
  </si>
  <si>
    <t>Mokri prostori.</t>
  </si>
  <si>
    <r>
      <rPr>
        <b/>
        <sz val="11"/>
        <rFont val="Calibri"/>
        <family val="2"/>
        <scheme val="minor"/>
      </rPr>
      <t>Pod tuševa.</t>
    </r>
    <r>
      <rPr>
        <sz val="11"/>
        <rFont val="Calibri"/>
        <family val="2"/>
        <scheme val="minor"/>
      </rPr>
      <t xml:space="preserve"> </t>
    </r>
  </si>
  <si>
    <t xml:space="preserve">Pločice iste kao u prethodnoj stavci, samo veće protukliznosti. Pločice I klase, retificirane. Dimenzije  pločica kvadratne 60-80x60-80 cm.  Protukliznost pločica je R10. </t>
  </si>
  <si>
    <t xml:space="preserve">Zidne pločice </t>
  </si>
  <si>
    <t xml:space="preserve">Dobava, nabava i postava zidne gres keramike, ljepljenjem na pripremljenu podlogu. </t>
  </si>
  <si>
    <t>Sve podne pločice trebaju biti iz iste serije proizvoda istog proizvođača. Min. 6 uzoraka svakih  pločica dostaviti projektantu na odabir.</t>
  </si>
  <si>
    <t xml:space="preserve">Pločice I klase, retificirane, kalibrirane, ravne površine glatke površine koja se lako  čisti i održava. Dimenzije  pločica 60x30cm ili 60x60cm. Min. 6 uzoraka pločica dostaviti projektantu na odobrenje. Ton mase za fugiranje najsličniji tonu pločice. Max širina reški 3 mm.  Cijenom obuhvatiti proizvođača cjenovno srednje tržišne klase. Zid se u sanitarijama oblaže do stropa. Keramikom se oblažu i špalete prozora. </t>
  </si>
  <si>
    <t>Pokrivanje krova valovitim vlaknocementnim pločama.</t>
  </si>
  <si>
    <t>Karakteristike vlaknocementnih ploča: ne gorive, paropropusne, visoko elastične i otporne na koroziju.
Otporne na smrzavanje i na utjecaj povišene temperature. Imaju svojstvo toplinskog izolatora zbog niske toplinske vodljivosti.
Visoka otpornost na tuču.</t>
  </si>
  <si>
    <t xml:space="preserve">Ton pokrova odabrati u dogovoru s konzervatorskim nadzorom i projektantom. </t>
  </si>
  <si>
    <t>Obračun po m2 pokrivene kose krovne plohe (bez uključenih preklopa), odnosno m' sljemenjaka i drugog linijskog elementa.</t>
  </si>
  <si>
    <t>U cijenu uračunati sve potrebne spojne elemente za postavu pokrova na krovnu konstrukciju, sljemenjake za postavu na sljemenu i grebenima, elemente za uvale, rubne elemente za jednostrešni krov i tipske elemente za odzračivanje potkonstrukcije krova, te sav potreban rad, materijal i pribor za izvedbu pokrova, dobavu i transport.</t>
  </si>
  <si>
    <t>b/ sljemenjaci dvostrešnog krova</t>
  </si>
  <si>
    <t>c/ sljemenjaci jednostrešnog krova</t>
  </si>
  <si>
    <t>d/ rubni elementi na zabatu</t>
  </si>
  <si>
    <t>e/ okapni rubni elementi</t>
  </si>
  <si>
    <t xml:space="preserve"> U cijenu uračunati krojenje, pripasivanje i izoliranje pričvrsnog elementa na nosive elemente krova. U cijenu uključiti radioničku dokumentaciju. Obračun po kom.</t>
  </si>
  <si>
    <t>Dvostruki stojeći falc. Vertikalne rubove falca izvesti u nagibu, tako da na donjem ležajnom području traka ostane dilatacijski razmak, pričvršćenje tipskim kutnim fiksnim učvršćivačima, u skladu s pravilima limarske struke. U području strehe, sljemena, kao i spojeva s povišenim dijelovima potrebno je voditi računa da se detalj izvede na način da je omogućen dilatacijski rad. Nakon izmjere trake treba profilirati isključivo strojno, uređajem za profiliranje. Raspored traka, odnosno falceva treba biti simetričan, uz poštivanje uvjeta pojedinog krova.</t>
  </si>
  <si>
    <t>U cijenu uračunati sve potrebne spojne elemente za postavu pokrova na krovnu konstrukciju,  sav potreban rad, materijal i pribor za izvedbu pokrova. Opšav sljemena i grebena je u zasebnim stavkama.</t>
  </si>
  <si>
    <t>Jediničnom cijenom obuhvaćeno i pribavljanje potrebnih atesta koji dokazuju da pričvrsni materijal osigurava odižuće djelovanje vjetra na traženom rasponu. U stavci sav potreban rad i materijal: uključivo pomoćni, pričvrsni, nosivi (kuke ili nosivi limovi - ovisno o odabranom sustavu) materijal i dr. Eventualno nastali otpadni materijal se neće posebno obračunavati.</t>
  </si>
  <si>
    <t>Pokrivanje krova falcanim limom.</t>
  </si>
  <si>
    <t>Krovovi su jednostrešni nagiba 12°.</t>
  </si>
  <si>
    <t>Dobava, nabava, izrada i ugradnja svih elemenata donjeg početka krovne plohe: početni nosivi lim (d=1mm, r.š. 25cm),  te uljevni lim  (d=0,7mm, r.š. 33cm).</t>
  </si>
  <si>
    <t xml:space="preserve">Izvoditi iz istog lima iz kakvog se izvodi pokrov. </t>
  </si>
  <si>
    <t>Polaganje razdjelnog sloja je predviđeno zasebnom stavkom u izolaterskim radovima.</t>
  </si>
  <si>
    <t>U stavci sav potreban rad i materijal: uključivo pomoćni, pričvrsni, nosivi materijal (kuke ili nosivi limovi - ovisno o odabranom sustavu)  i dr.</t>
  </si>
  <si>
    <t>Izvedba donjeg početka krovne plohe pokrivene falcanim limom.</t>
  </si>
  <si>
    <t>Zidanje novog zida u punoj opeci normalnog formata. Tlačna čvrstoća opeke min 10 N/m2. Zidovi se izvode u unutrašnjosti prema uputama proizvođača u cementnom mortu M15. Zidovi debljine 25 cm.</t>
  </si>
  <si>
    <t>Izvedba grube žbuke unutarnjih zidova (iz opeke i AB), te AB stropova (1800 kg/m3)</t>
  </si>
  <si>
    <t>Visina zidova 3,0 do 4,0m. 
Obračun po m2 izvedene površine, uključivo špalete.</t>
  </si>
  <si>
    <t>b/ stropovi</t>
  </si>
  <si>
    <t>Izvedba fine žbuke unutarnjih zidova (1800 kg/m3).</t>
  </si>
  <si>
    <t xml:space="preserve">Prvi sloj gruba produžna vapneno cementna žbuka M-3 - obračunata u zasebnoj stavci.  Završni sloj fina vapnena žbuka od prosijanog čistog pijeska debljine 0,5 cm. </t>
  </si>
  <si>
    <t>Nabava, dobava i izvedba lagano armiranog plivajućeg cementnog estriha (košuljice) u slojevima debljine 5 - 8 cm (prema projektu).  Zaglađena cementna glazura sa staklenim nitima za armiranje,  razred reakcije na požar A.</t>
  </si>
  <si>
    <r>
      <t xml:space="preserve">Na ranije izvedenu hidroizolaciju na podu se polažu ploče XPS-a (30kg/m3, </t>
    </r>
    <r>
      <rPr>
        <sz val="11"/>
        <rFont val="Aptos Narrow"/>
        <family val="2"/>
      </rPr>
      <t>λ≤0,035 W/mK), zatim sloj  EPS_T ploča (12kg/m3, λ≤0,042 W/mK),  pa sloj PE folije, iznad koje se izvodi cementni estrih. Svi navedeni slojevi su obuhvaćeni ovom stavkom.</t>
    </r>
  </si>
  <si>
    <t>Od zidova estrih treba dilatirati trakama XPS-T polistrienom 1 cm, uračunato u cijenu stavke. Na svim vratima te u prostorijama većim od 20 m2 izvesti dilataciju do 3 mm širine umetanjem komada bitumenske ljepenke ili drugog postojanog nehrđajućeg materijala.</t>
  </si>
  <si>
    <t>a/ estrih</t>
  </si>
  <si>
    <t>b/ PE folija</t>
  </si>
  <si>
    <t>c/ EPS-T ploča 2cm</t>
  </si>
  <si>
    <t>d/ XPS ploča 10cm</t>
  </si>
  <si>
    <t>Izvedba toplinskoizolacijske žbuke vanjskih postojećih zidova.</t>
  </si>
  <si>
    <t>a/ u sloju d=5cm</t>
  </si>
  <si>
    <t>b/ u sloju d=10cm</t>
  </si>
  <si>
    <t>Dobava materijala i izvedba  toplinsko-izolacijskog sustava na bazi aerogel žbuke (λ ≤ 0,029 W/mK). Reakcija na požar A2 s1 d0. Žbuka mora biti paropropusna, ne smije gubiti izolacijska svojstva upijanjem vlage, mora imati visoku otpornost na alge, gljivice i insekte. U svemu se pridržavati preporuka proizvođača odabranog sustava. U stavku uključiti sve potrebno prema preporuci proizvođača odabranog sustava kao što su npr. mrežice za armiranje, mort za ojačanje i sl. Priprema podloge je uključena u ovu stavku, a treba ju napraviti prema preporuci proizvođača sustava.</t>
  </si>
  <si>
    <t>Izvedba, dobava i ugradnja cementnog morta za izravnavanje i ispunu fuga.</t>
  </si>
  <si>
    <t>Obračun po m2 izvedene površine zida na kojoj se izvodi rad.</t>
  </si>
  <si>
    <t>Izvodi se na zidu zidanom punom opekom NF s vanjske strane.</t>
  </si>
  <si>
    <r>
      <t>Dobava, nabava i ugradnja</t>
    </r>
    <r>
      <rPr>
        <b/>
        <sz val="11"/>
        <rFont val="Calibri"/>
        <family val="2"/>
        <scheme val="minor"/>
      </rPr>
      <t xml:space="preserve"> podnog  dilatacijskog "L" profila</t>
    </r>
    <r>
      <rPr>
        <sz val="11"/>
        <rFont val="Calibri"/>
        <family val="2"/>
        <scheme val="minor"/>
      </rPr>
      <t xml:space="preserve"> (praga) na mjestima spoja podnih obloga od različitih materijala. Profil je iz savijenog dekapiranog aluminijskog lima debljine 3mm, visine prema visini završne podne obloge (min. 40x40 mm), učvršćen za podlogu navarenim sidrima. Profil ne smije viriti iz podne obloge.</t>
    </r>
  </si>
  <si>
    <r>
      <t xml:space="preserve">Dobava i izvedba </t>
    </r>
    <r>
      <rPr>
        <b/>
        <sz val="11"/>
        <rFont val="Calibri"/>
        <family val="2"/>
        <scheme val="minor"/>
      </rPr>
      <t>horizontalne hidroizolacije podne ploče</t>
    </r>
    <r>
      <rPr>
        <sz val="11"/>
        <rFont val="Calibri"/>
        <family val="2"/>
        <scheme val="minor"/>
      </rPr>
      <t>.</t>
    </r>
  </si>
  <si>
    <t xml:space="preserve">Hidroizolaciju podići uz zidove. Obrada ugla je u jediničnoj cijeni stavke.  Na hidroizolaciju se polažu XPS ploče obračunate u zasebnoj stavci. U stavku uključiti i razdjelni sloj geotekstila s gornje strane - ukoliko je potrebno po preporuci odabranog dobavljača sustava. </t>
  </si>
  <si>
    <t>Hidroizolacija se izvodi na svim horizontalnim površinama poda, te 30 cm vertikalno uz zidove, odnosno na visini 1,5 m na pozicijama sanitarne opreme u širini 2 m od slavine. Prostori tuševa izoliraju se cijelom visnom do stropa.</t>
  </si>
  <si>
    <t>Krov je dvostrešni i jednostrešni, nagibi su od 7° do 16°.</t>
  </si>
  <si>
    <t>Vodonepropusna paropropusna folija se polaže na sloj daščane oplate (ili OSB ploča), a iznad nje će se postavljati letve i konstraletve. OSB ploče, letve i kontraletve u zasebnoj stavci.</t>
  </si>
  <si>
    <t xml:space="preserve">Dobava, nabava materijala i postava polimercementne hidroizolacije. </t>
  </si>
  <si>
    <t>Izvodi se na podu stepenica i podesta na tlu, te na pozicijama prekida bitumenske izolacije (npr. nastavak zida na temelj) i na ukopanim zidovima upuštenog dijela dvorane.</t>
  </si>
  <si>
    <t>obračunala: upušteni dio dvorane, ispod zidova, vanjske stube, trijemove</t>
  </si>
  <si>
    <t>Dobava i izvedba sloja vodonepropusne paropropusne folije ispod lima.</t>
  </si>
  <si>
    <t>Vodonepropusna paropropusna folija se polaže na sloj daščane oplate (ili OSB ploča), a na nju će se polagati falcani lim kao pokrov krova. OSB ploče, te falcani lim su obračunati u zasebnoj stavci.</t>
  </si>
  <si>
    <t>Ploha je u padu, nagiba do 12°.</t>
  </si>
  <si>
    <r>
      <t xml:space="preserve">Dobava i izvedba </t>
    </r>
    <r>
      <rPr>
        <b/>
        <sz val="11"/>
        <rFont val="Calibri"/>
        <family val="2"/>
        <scheme val="minor"/>
      </rPr>
      <t>hidroizolacijskog i toplinskoizolacijskog keramičkog premaza</t>
    </r>
    <r>
      <rPr>
        <sz val="11"/>
        <rFont val="Calibri"/>
        <family val="2"/>
        <scheme val="minor"/>
      </rPr>
      <t>.</t>
    </r>
  </si>
  <si>
    <t>Premazi moraju biti kompatibilni - odabrati proizvode istog proizvođača.</t>
  </si>
  <si>
    <t>U jediničnoj cijeni stavke obuhvaćeni su svi navedeni radovi do pune gotovosti prema uputama tehničkog lista proizvođača sustava (prethodna priprema površine, obrada prodora, montaža i spajanje na završetke od mehanički fiksiranih profila, korištenje pomoćnih kompatibilnih proizvoda u sustavu proizvođača kao što su prethodni premazi podloge, trake i ljepila za brtvljene spojeva, mehanička učvrščivanja spojeva itd...).</t>
  </si>
  <si>
    <t>Na betonsku površinu se prvo nanosi sloj reparaturnog morta za zaglađivanje površine (te postizanje pada od cca 1%) debljine 0-1cm. Iznad njega se nanosi impregnacijski premaz, zatim keramički toplinskoizolacijski premaz (reakcija na požar A2, λ ≤ 0,001 W/m2K, 4x0,5 mm), zatim keramički hidroizolacijski premaz, λ ≤ 0,001 W/m2K, 4x0,5 mm u kojeg je potrebno ugraditi geotekstil (70g/m2). Iznad ovog sloja se postavljaju OSB ploče (što je obračunato u zasebnoj stavci), što treba uzeti u obzir pri izboru materijala. Izvoditi prema uputama tehnologa odabranog materijala. U stavku uključiti i postavljenje sloja geotekstila ukoliko proizvođač to preporuča za odabrani sustav izolacije.</t>
  </si>
  <si>
    <r>
      <t xml:space="preserve">Dobava i izvedba </t>
    </r>
    <r>
      <rPr>
        <b/>
        <sz val="11"/>
        <rFont val="Calibri"/>
        <family val="2"/>
        <scheme val="minor"/>
      </rPr>
      <t xml:space="preserve"> toplinskoizolacijskog keramičkog premaza</t>
    </r>
    <r>
      <rPr>
        <sz val="11"/>
        <rFont val="Calibri"/>
        <family val="2"/>
        <scheme val="minor"/>
      </rPr>
      <t>.</t>
    </r>
  </si>
  <si>
    <t>Obračun po m2 površine svih izvedenih slojeva (stvarno izolirane površine).</t>
  </si>
  <si>
    <t>a/ reparaturni mort</t>
  </si>
  <si>
    <t>Izvodi se na površinama na kojima nije moguće izvesti izolacije u većoj debljini.</t>
  </si>
  <si>
    <t>c/ keramički toplinskoizolacijski premaz</t>
  </si>
  <si>
    <t>b/ impregnacijski premaz</t>
  </si>
  <si>
    <t>d/ keramički toplinskoizolacijski premaz</t>
  </si>
  <si>
    <t>c/ keramički hidroizolacijski premaz</t>
  </si>
  <si>
    <t>Prvo se reparaturnim mortom poprave eventualne pukotine ili oštećenja, zatim se nanosi impregnacijski premaz, preko kojeg se nanosi keramički toplinsko izolacijski premaz λ ≤ 0,001 W/m2K. Sve izvoditi sukladno uputama tehnologa odabranog premaza. Izvesti uredno, preko premaza se izvodi pročeljna žbuka - obuhvaćeno u zasebnoj stavci.</t>
  </si>
  <si>
    <r>
      <t xml:space="preserve">Dobava i postavljanje toplinske izolacije - </t>
    </r>
    <r>
      <rPr>
        <b/>
        <sz val="11"/>
        <rFont val="Calibri"/>
        <family val="2"/>
        <charset val="238"/>
        <scheme val="minor"/>
      </rPr>
      <t>kombi ploča.</t>
    </r>
  </si>
  <si>
    <t>Na AB zidove potkrovlja se iznutra postavlja sloj kombi ploča s jezgrom iz mineralne vune, ukupne debljine 5cm, reakcije na požar A2. Postavlja se do visine cca 1m, odnosno prema projektu. Izvoditi sukladno detalju izvedbenog projekta i tehničkom listu odabranog dobavljača sustava.</t>
  </si>
  <si>
    <r>
      <t xml:space="preserve">Dobava i polaganje sloja </t>
    </r>
    <r>
      <rPr>
        <b/>
        <sz val="11"/>
        <rFont val="Calibri"/>
        <family val="2"/>
        <charset val="238"/>
        <scheme val="minor"/>
      </rPr>
      <t>mineralne vune</t>
    </r>
    <r>
      <rPr>
        <sz val="11"/>
        <rFont val="Calibri"/>
        <family val="2"/>
        <scheme val="minor"/>
      </rPr>
      <t>.</t>
    </r>
  </si>
  <si>
    <t xml:space="preserve">Mineralna vuna se polaže na AB ploču nadstrešnice sjevernih učionica - sloj K2A. Mineralna vuna maks  λ=0,038 W/mK, debljine 8cm, reakcije na požar A1. </t>
  </si>
  <si>
    <t>Dobava i polaganje slojeva izolacije stropa prema negrijanom tavanu (M1).</t>
  </si>
  <si>
    <r>
      <t>Na AB ploču se prvo polaže sloj PE folije s prelijepljenim preklopima i zabrtvljenim prodorima - parna brana sd</t>
    </r>
    <r>
      <rPr>
        <sz val="11"/>
        <rFont val="Aptos Narrow"/>
        <family val="2"/>
      </rPr>
      <t>≥</t>
    </r>
    <r>
      <rPr>
        <sz val="11"/>
        <rFont val="Calibri"/>
        <family val="2"/>
        <charset val="238"/>
      </rPr>
      <t>200. Iznad nje se polaže sloj mineralne vune m</t>
    </r>
    <r>
      <rPr>
        <sz val="11"/>
        <rFont val="Calibri"/>
        <family val="2"/>
        <charset val="238"/>
        <scheme val="minor"/>
      </rPr>
      <t>aks.  λ=0,039 W/mK, debljine 20cm, reakcije na požar A1. Preko mineralne vune se postavlja sloj paropropusne vodonepropusne folije.</t>
    </r>
  </si>
  <si>
    <t>U jediničnu cijenu uključen kompletan rad, materijal i pribor. Obračun po m2 površine na koju je položen materijal.</t>
  </si>
  <si>
    <t>a/ parna brana</t>
  </si>
  <si>
    <t>b/ mineralna vuna</t>
  </si>
  <si>
    <t>c/ paropropusna vodonepropusna folija</t>
  </si>
  <si>
    <t xml:space="preserve">Dobava i postavljanje parne brane na vanjske zidove. </t>
  </si>
  <si>
    <t xml:space="preserve">Parna brana je samoljepljiva PE folija 1000 kg/m3, debljine 0,2 mm sd min=250m'. </t>
  </si>
  <si>
    <t xml:space="preserve">Folija se polaže sa preklopima. Kontaktne površine i spojevi moraju biti čisti i suhi radi prionjivosti. </t>
  </si>
  <si>
    <t>Sve prema uputama proizvođača odabranog proizvoda.</t>
  </si>
  <si>
    <t>U jediničnu cijenu uključen kompletan rad, materijal i pribor. Obračun po m2 zalijepljene folije.</t>
  </si>
  <si>
    <t xml:space="preserve">Dobava i postavljanje parne brane i toplinske izolacije na vanjske zidove. </t>
  </si>
  <si>
    <t>Na AB zid se s vanjske strane prvo postavlja parna brana, zatim sloj mineralne vune, a potom paropropusne vodonepropusne folije.</t>
  </si>
  <si>
    <t xml:space="preserve">Parna brana je samoljepljiva PE folija 1000 kg/m3, debljine 0,2 mm sd min=250m'. Folija se polaže sa preklopima. Kontaktne površine i spojevi moraju biti čisti i suhi radi prionjivosti. </t>
  </si>
  <si>
    <t>Sve izvoditi prema uputama proizvođača odabranog proizvoda.</t>
  </si>
  <si>
    <t>Paropropusna vodonepropusna folija sd min=0.05m'.</t>
  </si>
  <si>
    <t>U jediničnu cijenu uključen kompletan rad, materijal i pribor. Obračun po m2 obložene površine zida.</t>
  </si>
  <si>
    <t>Kao hidroizolacija zida se postavljaju polimerbitumenske hidroizolacijske trake na hladnom bitumenskom premazu. U stavci uključiti i eventualno potrebnu pripremu podloge prema preporuci proizvođača odabranog sustava.</t>
  </si>
  <si>
    <r>
      <t>Kao toplinska izolacija se postavljaju ploče XPS-R-a, hrapave površine (30 kg/m3),  debljine 15cm,  λ</t>
    </r>
    <r>
      <rPr>
        <sz val="11"/>
        <rFont val="Aptos Narrow"/>
        <family val="2"/>
      </rPr>
      <t>≤</t>
    </r>
    <r>
      <rPr>
        <sz val="11"/>
        <rFont val="Calibri"/>
        <family val="2"/>
        <scheme val="minor"/>
      </rPr>
      <t>0,037 W/mK, reakcije na požar min E.</t>
    </r>
  </si>
  <si>
    <r>
      <t>Ploče mineralne vune debljine 15cm, kaširane staklenim voalom, λ</t>
    </r>
    <r>
      <rPr>
        <sz val="11"/>
        <rFont val="Aptos Narrow"/>
        <family val="2"/>
      </rPr>
      <t>≤</t>
    </r>
    <r>
      <rPr>
        <sz val="11"/>
        <rFont val="Calibri"/>
        <family val="2"/>
        <scheme val="minor"/>
      </rPr>
      <t>0,035 W/mK, reakcija na požar A2.</t>
    </r>
  </si>
  <si>
    <t>Preko navedenih slojeva se postavljaju fasadne prefabricirane betonske ploče obračunate u zasebnoj stavci.</t>
  </si>
  <si>
    <t>Izvedba ETICS sustava s završnom oblogom keramikom - pri dnu zida, uz tlo.</t>
  </si>
  <si>
    <t>Dobava, nabava materijala, postava i izvedba svih slojeva ETICS toplinskog sustava zida u sustavu XPS-a i završne obloge keramičkim fasadnim pločicama.</t>
  </si>
  <si>
    <t>Kao toplinska izolacija se postavljaju ploče XPS-R-a, hrapave površine (30 kg/m3),  debljine 15cm,  λ≤0,037 W/mK, reakcije na požar min E.</t>
  </si>
  <si>
    <t xml:space="preserve">Dobava i postavljanje hidroizolacije na vanjske zidove u tlu. </t>
  </si>
  <si>
    <t xml:space="preserve">Dobava i postavljanje toplinske izolacije na vanjske zidove u tlu. </t>
  </si>
  <si>
    <t>Na AB zid se s vanjske strane prvo postavlja hidroizolacija (obračunata u zasebnoj stavci), zatim sloj toplinske izolacije, a potom lijepe prefabricirane betonske fasadne ploče obračunate u zasebnoj stavci.</t>
  </si>
  <si>
    <t>Postavlja se uz nadtemeljni zid do visine min. 50cm iznad terena, odnosno min. kote +0.10 (kako bi se preklopila s horizontalnom HI poda koja je na koti -0.21). Sve izvoditi prema uputama proizvođača odabranog proizvoda.</t>
  </si>
  <si>
    <t xml:space="preserve">Dobava i postavljanje toplinske izolacije na vanjske zidove u tlu - sokl. </t>
  </si>
  <si>
    <r>
      <t>Kao toplinska izolacija se postavljaju ploče XPS-R-a, hrapave površine (30 kg/m3),  debljine 10cm,  λ</t>
    </r>
    <r>
      <rPr>
        <sz val="11"/>
        <rFont val="Aptos Narrow"/>
        <family val="2"/>
      </rPr>
      <t>≤</t>
    </r>
    <r>
      <rPr>
        <sz val="11"/>
        <rFont val="Calibri"/>
        <family val="2"/>
        <scheme val="minor"/>
      </rPr>
      <t>0,037 W/mK, reakcije na požar min E.</t>
    </r>
  </si>
  <si>
    <t>Na AB zid se s vanjske strane prvo postavlja hidroizolacija (keramički premaz - obračunata u zasebnoj stavci), zatim sloj toplinske izolacije, a potom lijepe prefabricirane betonske fasadne ploče obračunate u zasebnoj stavci.</t>
  </si>
  <si>
    <r>
      <t>Kao toplinska izolacija se postavljaju ploče XPS-R-a, hrapave površine (30 kg/m3),  debljine 4cm,  λ</t>
    </r>
    <r>
      <rPr>
        <sz val="11"/>
        <rFont val="Aptos Narrow"/>
        <family val="2"/>
      </rPr>
      <t>≤</t>
    </r>
    <r>
      <rPr>
        <sz val="11"/>
        <rFont val="Calibri"/>
        <family val="2"/>
        <scheme val="minor"/>
      </rPr>
      <t>0,037 W/mK, reakcije na požar min E.</t>
    </r>
  </si>
  <si>
    <t>Dobava i postavljanje toplinske izolacije na vanjske zidove - ispod fasadnih prefabriciranih betonskih ploča.  Sokl S1 i S2.</t>
  </si>
  <si>
    <t xml:space="preserve">Dobava i postavljanje toplinske izolacije na vanjske zidove. </t>
  </si>
  <si>
    <t>Na AB zid se s vanjske strane prvo postavlja hidroizolacija (obračunata u zasebnoj stavci), zatim sloj mineralne vune, a potom paropropusne vodonepropusne folije.</t>
  </si>
  <si>
    <t>b/ paropropusna vodonepropusna folija</t>
  </si>
  <si>
    <t>a/ potezi širine 40 - 50 cm</t>
  </si>
  <si>
    <t>b/ potezi širine 30 - 40 cm</t>
  </si>
  <si>
    <t>c/ potezi širine 20 - 30 cm</t>
  </si>
  <si>
    <t>d/ potezi širine do 20 cm</t>
  </si>
  <si>
    <t>Drvena obloga se izrađuje po uzoru na postojeću drvenu oblogu na paviljonima Grada mladih (u skladu s konzervatorskim elaboratom). Širinu dasaka ujednačiti s širinom dasaka na drugim paviljonima u kompleksu. Vrsta drveta: ariš ili hrast. Način spajanja (povezivanja) dasaka - na utor i pero. Završno ličena u tamnijem tonu prema izboru nadležnog konzervatora i projektanta, s tim da obloga mora biti premazana i protupožarnim premazom kako bi se postigla reakcija na požar min Bd-1. Odabrati međusobno kompatibilne proizvode (lazuru i retardant). Radionički nacrt postavljanja ovog ventiliranog sustava dostaviti na odobrenje projektantu. Uzorak premazane drvene obloge dostaviti na odobrenje projektantu  i nadležnom konzervatoru.</t>
  </si>
  <si>
    <t>Izvedba fasadnog sustava s završnom oblogom iz prefabriciranih betonskih ploča - kamen.</t>
  </si>
  <si>
    <t>Dobava, nabava materijala, postava i izvedba fasadnog sustava.</t>
  </si>
  <si>
    <t>Izvodi se na pozicijama na kojima su se nalazili kompozitni zidovi iz kamena i betona koji su se morali ukloniti.</t>
  </si>
  <si>
    <t>Na AB zidu se postavljaju parna brana, mineralna vuna i paropropusna vodonepropusna folija, sve obračunato u zasebnoj stavci. Potom se nanosi sloj fleksibilnog građevinskog ljepila (rabiciranog), te se postavljaju prefabricirane betonsko-kamene ploče. Ploče moraju biti dodatno sidrene u nosivi zid prema radioničkim nacrtima.</t>
  </si>
  <si>
    <t>Debljina panela 14-16cm. Dimenzije panela trebaju biti čim veće, ali bez povećanja debljine, ovise o sustavu odabranog proizvođača: barem 3,5x2,35m.</t>
  </si>
  <si>
    <t>Stavkom obuhvatiti i tipsko rješenje zapunjavanja fuga između panela.</t>
  </si>
  <si>
    <t>Ovisno o odabranom sustavu i proizvođaču, izvođač treba izraditi radioničke nacrte  postavljanja panela na pročelje. Radioničke nacrte je potrebno dostaviti na pregled i odobrenje projektantu. Tek po odobrenju projektanta se može pristupiti izradi panela.</t>
  </si>
  <si>
    <t xml:space="preserve">Obračun po m2 površine kompletno izvedenog opisanog pročeljnog sustava. </t>
  </si>
  <si>
    <r>
      <t>Na jednom mjestu se dva panela spajaju na uglu zgrade pod kutom 69</t>
    </r>
    <r>
      <rPr>
        <sz val="11"/>
        <rFont val="Calibri"/>
        <family val="2"/>
        <charset val="238"/>
      </rPr>
      <t>°</t>
    </r>
    <r>
      <rPr>
        <sz val="11"/>
        <rFont val="Calibri"/>
        <family val="2"/>
      </rPr>
      <t>. Spoj ta dva panela je ukupne dužine cca 130cm.  Predvidjeti ili spoj na ''gerung'' ili na jednom panelu izraditi bočnu plohu pod kutom obloženu istim kamenom kao i lice panela.</t>
    </r>
    <r>
      <rPr>
        <sz val="11"/>
        <rFont val="Calibri"/>
        <family val="2"/>
        <scheme val="minor"/>
      </rPr>
      <t xml:space="preserve"> Također na jednom mjestu paneli će imati vidljivu bočnu stranu - obraditi u kamenu kao i lice panela, potez ukupne dužine 5m. Pri izradi panela predvidjeti utore (ili kopče ili dr.) potrebne za kasnije pričvršćenje na pročelje.</t>
    </r>
  </si>
  <si>
    <t>Izvedba fasadnog sustava s završnom oblogom iz prefabriciranih betonskih ploča - kulir.</t>
  </si>
  <si>
    <t>Izvodi se na pozicijama na kojima su se nalazili kompozitni zidovi iz kamena i betona koji su se morali ukloniti ili se nalazio sokl iz kulira.</t>
  </si>
  <si>
    <t>Na AB zidu se postavljaju parna brana, mineralna vuna i paropropusna vodonepropusna folija, odnosno na nekim dijelovima zidova (pri tlu) se postavljaju XPS ploče, ili toplinska i hidroizolacija kao keramički premaz - sve obračunato u zasebnoj stavci. Potom se nanosi sloj fleksibilnog građevinskog ljepila (rabiciranog), te se postavljaju prefabricirane betonsko-kamene ploče. Ploče moraju biti dodatno sidrene u nosivi zid prema radioničkim nacrtima.</t>
  </si>
  <si>
    <t>Jediničnom cijenom obuhvatite sve radnje do pune gotovosti. Jediničnom cijenom stavke obuhvatiti i izradu probnog uzorka panela koji se isporučuju na gradilište i tek po odobrenju nadležnog konzervatora i projektanta se može pristupiti izradi svih panela.</t>
  </si>
  <si>
    <t>Dio panela se polaže na ravne zidove i ne trebaju imati bočne strane izvedene u kuliru. Dio panela se polaže na stupove i potrebno je da prednji element ima dvije nasuprotne bočne strane obrađene u kuliru.  Pri izradi panela predvidjeti utore (ili kopče ili dr.) potrebne za kasnije pričvršćenje na pročelje.</t>
  </si>
  <si>
    <t>Jediničnom cijenom obuhvatite sve radnje do pune gotovosti. Jediničnom cijenom stavke obuhvatiti i izradu probnih uzoraka panela (min 3) koji se isporučuju na gradilište i tek po odobrenju nadležnog konzervatora i projektanta se može pristupiti izradi svih panela.</t>
  </si>
  <si>
    <t>a/ ploče za ravno pročelje</t>
  </si>
  <si>
    <t>b/ obrada bočne strane  kuliru</t>
  </si>
  <si>
    <t xml:space="preserve">Obračun po m2 površine kompletno izvedenog opisanog pročeljnog sustava, obrada bočne plohe u kuliru u m', a kamen u m3. </t>
  </si>
  <si>
    <t>Izrada završne obloge iz pranog kulira na vanjskim stubama.</t>
  </si>
  <si>
    <t>Prani kulir se izvodi na vanjskim AB stubama. Kao agregat korisititi postojeći lomljeni kamen iz razgrađenih kompozitnih zidova - zeleni i bijeli. Kulir treba izgledati poput postojećeg kulira na zgradi. Izraditi minimalno tri uzorka prema postojećem uzorku kulira i dostaviti nadležnom konzervatoru i projektantu na odobrenje.</t>
  </si>
  <si>
    <t xml:space="preserve">Stavkom je obuhvaćena i sva potrebna priprema agregata: odabir sitnijih komada kamena (krupnije komade sačuvati za fasadne panele!), usitnjavanje na veličinu kao u postojećem kuliru, te sve ostalo potrebno da bi se mogao izvesti kulir. </t>
  </si>
  <si>
    <t>Na AB stubama se prvo nanosi sloj polimercementnog hidroizolacijskog premaza koji je obuhvaćen zasebnom stavkom, a potom se izvodi sloj kulira.</t>
  </si>
  <si>
    <t>Jediničnom cijenom obuhvatite sve radnje do pune gotovosti. Jediničnom cijenom stavke obuhvatiti i izradu probnih uzoraka kulira (min 3) koji se isporučuju na gradilište i tek po odobrenju nadležnog konzervatora i projektanta se može pristupiti izradi kulira na stubama. Obrada brida - spoja dvije okomite plohe u jediničnoj cijeni.</t>
  </si>
  <si>
    <t xml:space="preserve">Obračun po m2 površine kompletno izvedenog opisanog pranog kulira. </t>
  </si>
  <si>
    <t>Izvodi se na zidovima VZ1 i VZ1T</t>
  </si>
  <si>
    <r>
      <t>Debljina panela 10cm. Dimenzije panela trebaju biti čim veće, ali bez povećanja debljine, a ovise o sustavu odabranog proizvođača:</t>
    </r>
    <r>
      <rPr>
        <sz val="11"/>
        <rFont val="Calibri"/>
        <family val="2"/>
        <charset val="238"/>
        <scheme val="minor"/>
      </rPr>
      <t xml:space="preserve"> min. 3,5x2,35m.</t>
    </r>
  </si>
  <si>
    <t>Prefabricirane betonske ploče s vanjske (vidljive) strane panela imaju ploče iz lomljenog kamena dobivenog razgradnjom postojećih zidova zgrade. Veći dio kamena je sljemenski zeleni, a manji dio svijetli kamen. Dakle, koristit će se postojeći kamen čija razgradnja je predviđena zasebnom stavkom. Transport tog kamena do proizvodnog pogona izrađivača fasadnih panela je predviđen zasebnom stavkom. Potrebno je stavkom predvidjeti  obradu kamena (pripremu za ugradnju - rezanje, odnosno razbijanje na plosnatije komade i dr. potrebno).</t>
  </si>
  <si>
    <t>Pregled kamena iz srušenih kompozitnih zidova, odvajanje od betona i drugih nečistoća, te transport kamena koji se može koristiti na lokaciju proizvođača fasadnih panela. Dio kamena se zadržava i skladišti na gradilištu za potrebe izrade pranog kulira koji se izvodu na licu mjesta.</t>
  </si>
  <si>
    <t xml:space="preserve">a/ kamen koji se transportira </t>
  </si>
  <si>
    <t xml:space="preserve">b/ kamen koji se zadržava </t>
  </si>
  <si>
    <t>Novi kamen za fasadne ploče.</t>
  </si>
  <si>
    <t>Dobava novog kamena za potrebe izrade fasadnih ploča. Ova stavka se izvodi isključivo po odobrenju nadzornog inženjera. Za fasadne ploče se predviđa koristiti postojeći kamen iz srušenih kompozitnih zidova. Isključivo ukoliko neće biti moguće koristiti sav kamen iz tih zidova, nabavlja se novi kamen (bijele i zelene boje) izgledom i karakteristikama poput postojećeg, primjeren za ugradnju na pročelju.</t>
  </si>
  <si>
    <t>a/ bijeli kamen</t>
  </si>
  <si>
    <t>b/ zeleni kamen</t>
  </si>
  <si>
    <t xml:space="preserve">Kamenarski radovi izvode se iz prirodnog kamena, sukladno naputku projektanta i smjernicama nadležnog konzervatorskog zavoda. </t>
  </si>
  <si>
    <t>Sve materijale i uzorke potrebno je dostaviti nadležnom konzervatoru i projektantu na odobrenje i odabir. Iz uzoraka mora biti vidljiva kvaliteta, završna obrada, struktura i boja.</t>
  </si>
  <si>
    <t>Konačan odabir vrste i dimenzije kamena za sve radove izvršit će se prema zahtjevima i uz suglasnost nadzorne konzervatorske službe.</t>
  </si>
  <si>
    <t>U sklopu jedinične cijene stavki je i izrada radioničkog nacrta (sheme) polaganja, odnosno oblaganja. Radioničke nacrte je potrebno dostaviti na odobrenje projektantu i nadležnom konzervatoru prije početka radova.</t>
  </si>
  <si>
    <t>Sve potrebne predradnje započeti na vrijeme, kako ne bi došlo do zastoja radova.</t>
  </si>
  <si>
    <t>Ugradit će se kamen I. klase, u svemu prema zahtjevima i uz suglasnost nadzorne konzervatorske službe te sukladno projektu arhitekture.</t>
  </si>
  <si>
    <t>Svi radovi moraju se izvesti prema: pravilniku o tehničkim mjerama i uvjetima za završne radove u zgradarstvu, tehničkim uvjetima za oblaganje kamenim pločama, HRN U.F7.010/1966 (ili jednakovrijedno) te podacima iz projektne dokumentacije.</t>
  </si>
  <si>
    <t xml:space="preserve"> - izrada radioničkih nacrta (shema) svih elemenata i shema polaganja</t>
  </si>
  <si>
    <t xml:space="preserve"> - materijal - nabava, izrada i dovoz na gradilište,</t>
  </si>
  <si>
    <t xml:space="preserve"> - sav sitni i spojni materijal i materijal za učvršćenje (mort, cementno mlijeko, kuke, plosna željeza, žica za učvršćenje, vijci, zakovice i sl.).</t>
  </si>
  <si>
    <t>KARAKTERISTIKE KAMENA ZA VANJSKE HODNE PLOHE</t>
  </si>
  <si>
    <t>Kamen jednoličnog izgleda (bez jako izraženih šara), svjetlijeg tona.</t>
  </si>
  <si>
    <t>Kamen za hodne plohe mora biti otporan na habanje, smrzavanje, djelovanje kiselih atmosferilijai i na djelovanje soli (kojom bi se mogao posipavati radi sprječavanja smrzavanja).</t>
  </si>
  <si>
    <t>Preporuča se odabir kamena silikatnog sastava.</t>
  </si>
  <si>
    <t>Otpornost na habanje brušenjem &lt; 25 cm3 / 50 cm2.</t>
  </si>
  <si>
    <t>Prije početka popločavanja poda potrebno je provjeriti dimenzije ploča i prostorije da bi se mogao ustanoviti položaj prve ploče koja će činiti polaznu točku popločavanja.</t>
  </si>
  <si>
    <t>NAČIN POLAGANJA OPLOČENJA VANJSKIH HORIZONTALNIH PLOHA</t>
  </si>
  <si>
    <t>Kameno opločenje se polaže na cementnu glazuru, a kamene stube na cementnu stabilizaciju. Debljina ploča 3 cm.</t>
  </si>
  <si>
    <t>Kamene ploče polagati u posteljicu od morta koji ima dobru elastičnost. Npr. od morta pripremljenog od vapna i trascementa ili pucolanskog dodatka debljine 4-7cm, koji ima dobru elastičnost i vrlo dobro prianja uz kamen.</t>
  </si>
  <si>
    <t xml:space="preserve">Otvrdnjavanje mu nije prebrzo. U početnom stadiju otvrdnjavanja neosjetljiv je prema potresivanju I vibracijama, pa je prema tome praktički odmah prometno upotrebljiv. Pri djelovanju oborina nema izluživanja vapna. </t>
  </si>
  <si>
    <t>Ploče se u mort fiksiraju udaranjem gumenim čekićem. Pri udaranju dio morta ulazi u reške i ispunjava ih. Pritisna čvrstoća morta treba iznositi 3,5MPa.</t>
  </si>
  <si>
    <t>Priprema morta za posteljicu:</t>
  </si>
  <si>
    <t xml:space="preserve"> - 4 dijela pijeska granulacije &lt; 4mm</t>
  </si>
  <si>
    <t xml:space="preserve"> - 1 dio cementa (portland ili pucolanski)</t>
  </si>
  <si>
    <t xml:space="preserve"> - 1-1,5 dijela hidratizirano gvapna</t>
  </si>
  <si>
    <t xml:space="preserve">Za izradu morta rabi se riječni ili drobljeni pijesak od kamena koji ne smije sadržavati štetne sastojke iznad količine dopuštene normama. </t>
  </si>
  <si>
    <t>Stube se izvode iz masivnih kamenih elemenata dužine min. 1m.</t>
  </si>
  <si>
    <t xml:space="preserve">Gazišta stuba trebaju imati pad prema čelu najmanje 1%. </t>
  </si>
  <si>
    <t>Pri izvedbi stuba treba voditi računa o osiguravanju njihove stabilnosti I sigurnosti.</t>
  </si>
  <si>
    <t>Radi osiguranja stabilnosti, ispod stuba je uz temelj zgrade predviđena izvedba cementne stabilizacije - obuhvaćeno zasebnom stavkom.</t>
  </si>
  <si>
    <t>Masivne stube se polažu na mortnu posteljicu sastava 1:4 (na 4 dijela pijeska frakcije &lt; 4mm 1 dio cementa).</t>
  </si>
  <si>
    <t>Presjek gazišta prema detalju iz projekta.</t>
  </si>
  <si>
    <t>Ploče po kojima se hoda moraju imati završno protukliznu obradu šokanjem kao i postojeće opločenje.</t>
  </si>
  <si>
    <t>Obračun po m2 hodne plohe, komadu ploča uz rigalicu i m' sokla.</t>
  </si>
  <si>
    <t>a/ hodne plohe</t>
  </si>
  <si>
    <t>b/ sokl</t>
  </si>
  <si>
    <t>Pod trijema je deniveliran u odnosu na okolni teren za 15-tak cm. Na rubu trijema se (u nivou poda trijema) postavlja rubna stuba.</t>
  </si>
  <si>
    <t>Hodna ploha poda trijema se oblaže pločama dimenzija kao postojeće opločenje 25cmx45cm i debljine 3cm. Polaganje s pomakom fuga - poput postojećeg.</t>
  </si>
  <si>
    <t>Rubna stuba je iz segmenata min. dužine kao postojeća min. 0,6 m. Cijelom hodnom plohom protuklizno obrađen element - štokanjem (kao postojeća obrada).</t>
  </si>
  <si>
    <t>Stuba je iz kamenog masiva, visine 16cm, širine 35cm. S jedne donje strane skošena, jer sjeda iznad holkela.</t>
  </si>
  <si>
    <t>Obračun po m' postavljene stube.</t>
  </si>
  <si>
    <t>Trijem - hodne plohe nove</t>
  </si>
  <si>
    <t>Trijem - stube nove</t>
  </si>
  <si>
    <t>Pregled i priprema postojećeg lomljenog kamena</t>
  </si>
  <si>
    <t>Dobava novog lomljenog kamena</t>
  </si>
  <si>
    <t>Prefabricirane betonske ploče s vanjske (vidljive) strane panela imaju prani kulir iz lomljenog kamena dobivenog razgradnjom postojećih zidova zgrade. Veći dio postojećeg kamena je sljemenski zeleni, a manji dio svijetli kamen. Dakle, za kulir će se koristiti postojeći kamen čija razgradnja je predviđena zasebnom stavkom. Potrebno je ovom stavkom predvidjeti transport tog kamena do proizvodnog pogona izrađivača fasadnih panela, te obradu kamena (pripremu za ugradnju - odabir primjerenog kamena, te usitnjavanje i dr. potrebno). Pri odabiru kamena birati sitnije komade - krupnije ostaviti za panele opisane u prethodnoj stavci! Kulir treba izgledati poput originalnog kulira na zgradi, koji je iz mješavine bijelog i zelenog kamena. Stoga će biti potrebno dobaviti određenu količinu bijelog kamena kako bi se dobio kulir što sličniji posotjećem, pošto je kamen u zidovima koji se razgrađuju većinom sljemenski zeleni kamen. Bijeli kamen treba biti što sličniji postojećem, primjeren za izradu kulira, te je potrebno isti usitniti na veličinu poput one u postojećem kuliru i pripremiti za ugradnju. Dobava bijelog kamena predviđena u zasebnoj stavci u kamenarskim radovima.</t>
  </si>
  <si>
    <t>Na pločama se izvodi polimercementni mort, armiran alkalnom mrežicom sa završnim slojem mineralne pročeljne žbuke odgovarajuće zrnatosti (hrapavosti) sukladno konzervatorskom elaboratu.</t>
  </si>
  <si>
    <t>Boja završne žbuke prema odabiru nadležnog konzervatora i projektanta. Uzorak dostaviti projektantu na odobrenje.</t>
  </si>
  <si>
    <t>Izvedba završne fasadne žbuke.</t>
  </si>
  <si>
    <t>Dobava, nabava materijala i izvedba svih slojeva  mineralne pročeljne žbuke. Žbuka glatke teksture.</t>
  </si>
  <si>
    <t xml:space="preserve">m2 </t>
  </si>
  <si>
    <t>Na betonsku površinu se prvo nanosi sloj reparaturnog morta za zaglađivanje površine (te postizanje pada od cca 1%) debljine 0-1cm. Iznad njega se nanosi impregnacijski premaz, zatim keramički toplinskoizolacijski premaz (reakcija na požar A2, λ ≤ 0,001 W/m2K, 2x0,5 mm), zatim keramički hidroizolacijski premaz, λ ≤ 0,001 W/m2K, 4x0,5 mm u kojeg je potrebno ugraditi geotekstil (70g/m2). Iznad ovog sloja se postavljaju OSB ploče (što je obračunato u zasebnoj stavci), što treba uzeti u obzir pri izboru materijala. Izvoditi prema uputama tehnologa odabranog materijala. U stavku uključiti i postavljenje sloja geotekstila ukoliko proizvođač to preporuča za odabrani sustav izolacije.</t>
  </si>
  <si>
    <r>
      <t xml:space="preserve">Dobava i izvedba </t>
    </r>
    <r>
      <rPr>
        <b/>
        <sz val="11"/>
        <rFont val="Calibri"/>
        <family val="2"/>
        <scheme val="minor"/>
      </rPr>
      <t>hidroizolacije kose podne ploče</t>
    </r>
    <r>
      <rPr>
        <sz val="11"/>
        <rFont val="Calibri"/>
        <family val="2"/>
        <scheme val="minor"/>
      </rPr>
      <t>.</t>
    </r>
  </si>
  <si>
    <t>Nabava, dobava i polaganje ploča ekstrudiranog polistirena XPS d=10 cm, iznad donje kose i gornje podne ploče u gledalištu dvorane.</t>
  </si>
  <si>
    <t>Dobava i bojanje unutarnjih ožbukanih zidova iz opeke ili betona, te pregradnih stijena i obloga konstrukcije iz gipskartonskih ploča, unutarnjom disperzivnom visokopokrivnom bojom.</t>
  </si>
  <si>
    <t xml:space="preserve">  - tlačna čvrstoća 80 N/mm2 nakon 28 dana
 - vlačna čvrstoća na savijanje 11 N/mm2  nakon 28 dana
navedene katakteristike prema EN 196-1 ili jednakovrijedno</t>
  </si>
  <si>
    <t>Dobava i bojanje unutarnjih AB stropova i stropova iz gipskartonskih ploča unutarnjom disperzivnom visokopokrivnom bojom.</t>
  </si>
  <si>
    <t>a/ strop iz AB (žbukan grubom i finom žbukom)</t>
  </si>
  <si>
    <t>a) Obračun po m2 obojene površine zidova (žbukani zidovi - gruba + fina žbuka).</t>
  </si>
  <si>
    <t>b/ gipskartonski stropovi (glatki i perforirani)</t>
  </si>
  <si>
    <t>Liči se do visine 160cm.</t>
  </si>
  <si>
    <t>Jedinična cijena sadrži sitne popravke površina, impregnaciju, gletanje, brušenje i kitanje, te dvostruki premaz završnom bojom u tonu prema izboru projektanta. Podloga mora biti čvrsta, nosiva, suha i čista. U cijenu je uključen sav potreban rad i materijal.</t>
  </si>
  <si>
    <t>a) Obračun po m2 obojene površine zidova (AB žbukani zidovi). Jedinična cijena sadrži sitne popravke površina,  gletanje, brušenje i kitanje, impregnaciju, te dvostruki premaz završnom bojom.</t>
  </si>
  <si>
    <t>u tonu prema dostavljenoj paleti (cijenom obuhvatiti paletu tonova proizvođača cjenovno srednje tržišne klase).</t>
  </si>
  <si>
    <t>b) Obračun po m2 obojene površine zidova (gipskartonski zidovi). Jedinična cijena sadrži sitne popravke površina te dvostruki premaz završnom bojom.</t>
  </si>
  <si>
    <t>Plastifikacija vanjskih protukišnih rešetki strojarskog sustava ventilacije. Rešetke dimenzija cca 70 x 70cm. Plastificiraju se u tonu to sličnijem tonu drvene obloge u koju se ugrađuju. Ton RAL za plastifikaciju će odrediti nadležni konzervator i projektant nakon odabira tona za drvenu oblogu.</t>
  </si>
  <si>
    <t>Obračun po kom oličene rešetke.</t>
  </si>
  <si>
    <t>Bojanje izvesti do potpunog oličenja. Stavka podrazumjeva nabavu i dobavu materijala, kompletan rad i alat te eventualnu radnu skelu.</t>
  </si>
  <si>
    <t xml:space="preserve">Dobava materijala i bajcanje, te ličenje prozirnim lakom vansjkih drvenih ploha krovne konstrukcije. Ton po dogovoru s nadležnom konzervatorskom službom I projektantom.  </t>
  </si>
  <si>
    <t>Dobava, nabava materijala i izvedba svih slojeva  mineralne pročeljne žbuke. Žbuka hrapave teksture - krupnijeg granulata poput postojeće.</t>
  </si>
  <si>
    <t>d/ završno-dekorativna tankoslojna mineralna žbuka  - krupnijeg granulata poput postojeće</t>
  </si>
  <si>
    <t>Novi elementi drvenih konstrukcija (krovište) su klase čvrstoće drva C 24. Zaštita drva od vlage i insekata obavezno uz premazivanje lazurnim bojama.</t>
  </si>
  <si>
    <t xml:space="preserve">Nabava, izrada, dostava i montaža nosivih stupova nadstrešnice na glavnom ulazu. </t>
  </si>
  <si>
    <t xml:space="preserve">Visina stupova cca 275cm. </t>
  </si>
  <si>
    <t>Obračun po kg za stupove i PP premaz, te kom stupa za završno ličenje u tonu.</t>
  </si>
  <si>
    <t>Izrada metalnih ljestava za pristup krovu.</t>
  </si>
  <si>
    <t>Ljestve se postavljaju vertikalno, pričvršćene su za vanjski zid građevine s vanjske strane. Prečke ljestava će biti od crnog okruglog željeza promjera najmanje 1,6cm i dobro učvršćene odnosno zavarene na stranice ljestava na vertikalnom razmaku od najviše 30cm. Duljina prečki između stranica neće biti manja od 40 cm. Počevši od visine dva metra od poda se na ljestve postavlja metalna leđna zaštita. Leđna zaštita se izvodi u obliku kaveza načinjenog od lukova od plosnatog željeza, s unutarnji, promjerom ne manjim od 70 cm niti većim od 8 0cm, koji će biti pričvršćeni za stranice ljestava na međusobnom razmaku ne većem od 1,4 m. Lukovi će biti povezani vertikalama od plosnatog željeza na razmaku ne većem od 25 cm. Lukovi i
vertikale od plosnog željeza koji međusobno zatvaraju kavez, će biti tako dimenzionirani i učvršćeni za ljestve da pružaju sigurnu zaštitu osobama od pada s visine.</t>
  </si>
  <si>
    <t>Izvedba metalnih ljestava s leđobranima obuhvaća nabavu potrebnog materijala te izradu, antikorozivnu zaštitu, dopremu i ugradnju. Ljestve s leđobranom se izrađuju od čeličnih profila, a povezuju zavarivanjem. Okvir se izrađuje od profila prema radioničkom nacrtu, uglavnom se koriste čelične trake, limovi i šipke. Ljestve se ugrađuju na betonske zidove pomoću anker vijaka. Antikorozivna zaštita vrućim cinčanjem. Poziciju ljestvi uskladiti s odabranim gabaritima opreme.</t>
  </si>
  <si>
    <t>Ukupna visina ljestava (od kote terena do gornje kote leđobrana: cca 5,5m.</t>
  </si>
  <si>
    <t>Čelični profili se polažu na AB plato strojarske opreme. Poziciju čeličnih profila prilagoditi odabranom tipu dizalice topline. Antikorozivna zaštita vrućim cinčanjem. Radionički nacrt dostaviti projektantu na pregled I suglasnost da je izrađen u skladu s projektom.</t>
  </si>
  <si>
    <r>
      <t>Dobava, nabava i izvedba protupožarne zaštite čelične konstrukcije sustavom protupožarnog  premaza za čelik koji osigura</t>
    </r>
    <r>
      <rPr>
        <sz val="11"/>
        <rFont val="Calibri"/>
        <family val="2"/>
        <charset val="238"/>
        <scheme val="minor"/>
      </rPr>
      <t>va R90 konstrukcije</t>
    </r>
    <r>
      <rPr>
        <sz val="11"/>
        <rFont val="Calibri"/>
        <family val="2"/>
        <scheme val="minor"/>
      </rPr>
      <t xml:space="preserve"> (zaštitno sredstvo protiv korozije i sredstva za prijanjanje; premaz koji stvara izolacijski sloj, te pokrivni premaz).</t>
    </r>
  </si>
  <si>
    <t>Stavkom su obuhvaćeni: nosivi stupovi nadstrešnice trijema.</t>
  </si>
  <si>
    <t>Stupovi ulazne nadstrešnice se izvode kao cijevi kružnog poprečnog presjeka promjera Ø139,7 mm i debljine stijenke 8.8 mm od čelika čvrstoće S235. Modelirani su u prostornom modelu kao upeti te ih je potrebno premazati protupožarnim premazom R90. ANtikorozivna zaštita, prrotupožarni premaz i završno ličenje u tonu RAL 5001 je predviđeno zasebnom stavkom.</t>
  </si>
  <si>
    <t>Dvokomponentni protupožarni zaštitni premaz na epoksi osnovi, otporan na mehanička oštećenja. Premaz također treba udovoljavati zahtjevima i smjernicama standarda HRN ISO 12 944 ili jednakovrijedno*  zaštite čelika od korozije kategorije C5-I i C5-M. Zaštitni premaz nanositi poštujući smjernice u tehničkom listu proizvoda i prema uputi proizvođača. Završno ličenje u tonu RAL 5001 bojom koja je kompatibilna s PP premazom.</t>
  </si>
  <si>
    <t>Stavkom je obuhvaćena izrada radioničke dokumentacije za: stupove na glavnom ulazu i stube u dvorani.</t>
  </si>
  <si>
    <t>Nabava, izrada, dostava i montaža čelične konstrukcije novog stubišta. Protupožarna zaštita premazivanjem R90 - što je obračunato u posebnoj stavci.</t>
  </si>
  <si>
    <t xml:space="preserve">Stubište je jednokrako, s  jednim  podestom.  Širina kraka je 120cm, u kraku je 7 stuba (š/v=29/16,7). </t>
  </si>
  <si>
    <t xml:space="preserve">Tetive i podest stubišta se izvode od čeličnih profila HEA 140 na koje se predviđa postavljanje drvenih gazišta. Glavne nosive tetive prate rub stubišta i oslanjaju se u dnu na podnu ploču te u vrhu na ab zid prizemlja. Dvije rubne tetive se izvode kao kontinuirani nosači, dok se između njih zglobno oslanja dodatni poprečni profil podesta. Sve izraditi prema statičkom proračunu. Kvaliteta čelika od kojeg se izvode profili je S235. </t>
  </si>
  <si>
    <t>Radioničku dokumentaciju, prije izvedbe čelične konstrukcije,  potrebno je dostaviti  statičaru i projektantu arhitekture - obuhvaćeno u zasebnoj stavci. Ograda obuhvaćena u zasebnoj stavci u bravarskim radovima.</t>
  </si>
  <si>
    <t>Obračun po kg ugrađenih profila konstrukcije.</t>
  </si>
  <si>
    <t>Sukladno Eurocodu definirane su klase čelične konstrukcije - klasa izvođenja HRN EN 1090-2 EXC2 ili jednakovrijedno.</t>
  </si>
  <si>
    <t>Pomoćni i vezivni materijali kalaj, zakovice, zavrtnji i drugo moraju odgovarati odredbama HR normi.</t>
  </si>
  <si>
    <t>Sve radove treba izvesti stručno i solidno, prema tehničkim proisima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projektanta inadzornog inženjera.</t>
  </si>
  <si>
    <t>Različite vrste metala, koje se uslijed elektrolitskih pojava međusobno razaraju, ne smiju se izravno dodirivati. Sve željezne dijelove koji dolaze u dodir s cinkom ili ocinčanim limom treba preličiti asfaltnim lakom, ili odgovarajućim sredstvom. Kod polaganja lima na masivne podloge, potrebno je podloge prije oblaganja obložiti slojem krovne ljepenke br 120 radi sprečavanja štetnih kemijskih uticaja na lim.</t>
  </si>
  <si>
    <t>Sva se učvršćenja i povezivanja limova moraju izvesti tako da konstrukcija bude osigurana od
nevremena, atmosferilija i prodora vode u objekt, i da pojedini dijelovi mogu nesmetano raditi kod temperaturnih promjena bez štete po ispravnost konstrukcije.</t>
  </si>
  <si>
    <t>Obračun se vrši po m' ili m2, ovisno o vrsti elementa, prema važećim građevinskim normama za pojedine radove, što je i naznačeno u pojedinim stavkama troškovnika.</t>
  </si>
  <si>
    <t>Eventualne nejasnoće oko načina izvedbe ili obračuna izvoditelj je dužan razjasniti sa nadzornim inženjerom prije samog pristupanja izvođenju.</t>
  </si>
  <si>
    <t>izrada polukružnog visećeg žlijeba. Izvesti od pocinčanog čeličnog lima debljine 0.75 mm. Žlijeb izvesti s kukama iz pocinčanog plosnog čelika dim. 30x4 mm i ovijesiti na daske krovne konstrukcije. Lim žlijeba r.š. 40cm. Podložni rubni lim  r.š.  33cm.</t>
  </si>
  <si>
    <t>izrada polukružnog visećeg žlijeba. Izvesti od pocinčanog čeličnog lima debljine 0.75 mm. Žlijeb izvesti s kukama iz pocinčanog plosnog čelika dim. 30x4 mm i ovijesiti na daske krovne konstrukcije. Lim žlijeba r.š. 50cm. Podložni rubni lim  r.š.  40cm.</t>
  </si>
  <si>
    <t>Sve opšave izvesti iz pocinčanog čeličnog lima 0,75 mm, s podmetanjem lima na strani zida pod žbuku, a s prednje strane napustiti okapnicu minimalno 3,0 cm od žbukane podloge i s prepustom od min 4 cm od završne plohe nove žbuke, te nosače opšava od plosnog željeza 5 mm na razmacima od 33 cm i izvedbu prikladnog pada prema vanjskom rubu. Sidrenje lima. 
 Stavka uključuje i brtvljenje trajno elastičnim kitom na spoju opšava / klupčica i doprozornika. Klupčica / opšav u potpunosti prekriva i vanjski izloženi dio doprozornika. Pažljivo obraditi oblikovanje opšava / klupčica oko prozorskih okvira, ostalih istaka itd.
Uključivo  sav potreban rad, materijal, faktori i transporti.
Za svaki pojedini opšav obračunati sve koeficijente specifične profilacije, odnosno oblika i uključiti ih u jediničnu cijenu (bez povećanja obračunske površine). 
Obračun po m¹ izvedenog novog opšava.</t>
  </si>
  <si>
    <t>opšav vijenca prizemlja, r.š. do 50 cm</t>
  </si>
  <si>
    <t>opšav vijenca  r.š. do 40cm</t>
  </si>
  <si>
    <t>opšav klupčica prozora, r.š. do 25 cm</t>
  </si>
  <si>
    <t>opšav klupčica prozora, r.š. do 30 cm</t>
  </si>
  <si>
    <t>f)</t>
  </si>
  <si>
    <t>opšav klupčica prozora, r.š. do 40 cm</t>
  </si>
  <si>
    <t>opšav klupčica prozora, r.š. do 50 cm</t>
  </si>
  <si>
    <t>Dobava materijala, izrada i montaža ležećeg žlijeba na spoju dvije krovne plohe</t>
  </si>
  <si>
    <t xml:space="preserve">Stavkom obuhvaćeno: horizontalni pravokutni ležeći žlijeb na kukama od plosnog željeza, opšavi obostrano i spajanje na labuđi vrat. Sve opšave izvesti iz pocinčanog čeličnog lima 0,75 mm, te nosače opšava od plosnog željeza 5 mm na razmacima od 33 cm i izvedbu prikladnog pada prema vanjskom rubu. Sidrenje lima. 
 Stavka uključuje i brtvljenje trajno elastičnim kitom na spoju opšava / klupčica i doprozornika. Pažljivo obraditi oblikovanje opšava / klupčica oko prozorskih okvira, ostalih istaka itd.
Uključivo snimanje postojećih detalja i ovjera konzervatorskog nadzora kao i sav potreban rad, materijal, faktori i transporti.
Za svaki pojedini opšav obračunati sve koeficijente specifične profilacije, odnosno oblika i uključiti ih u jediničnu cijenu (bez povećanja obračunske površine). 
</t>
  </si>
  <si>
    <t>b/ horizontalni žlijeb r.š. 100cm</t>
  </si>
  <si>
    <t xml:space="preserve">a/ Opšav r.š. 60cm. </t>
  </si>
  <si>
    <t xml:space="preserve">Nabava, dobava i izvedba limenog opšava na uvalama krovnih ploha  iz ravnog čeličnog pocinčanog  lima debljine 0,55 mm. Lim razvijene širine 75cm. </t>
  </si>
  <si>
    <t xml:space="preserve">Nabava, dobava i izvedba limenog opšava na lomu krovnih ploha različitih nagiba i visina iz ravnog čeličnog pocinčanog  lima debljine 0,55 mm. Lim razvijene širine 75cm. </t>
  </si>
  <si>
    <t>Nabava, dobava i izvedba limenog opšava prodora ventilacijskih kanala kroz krov iz ravnog čeličnog pocinčanog  lima debljine 0,55 mm. Lim razvijene širine 75cm.</t>
  </si>
  <si>
    <t>Pokrov krova su valovite vlaknocementne  ploče, obračunate u zasebnoj stavci. Krov je kosi, nagibi krovnih ploha 7°-16°.</t>
  </si>
  <si>
    <t>a/ vertikale Ø100 mm</t>
  </si>
  <si>
    <t>b/ vertikale Ø80 mm</t>
  </si>
  <si>
    <t>c/ labuđi vrat</t>
  </si>
  <si>
    <t xml:space="preserve">Dobava, izrada i montaža vertikalnog žlijeba kružnog presjeka,  koji se izvodi od čeličnog pocinčanog lima, debljine 0.75 mm, svim fazonskim komadima, obujmicama i priključkom na temeljnu kanalizaciju. Cijenom je obuhvaćen kompletan rad, materijal i radna skela. U cijenu uključiti i potrebne nosače žlijeba uključivo sav spojni i brtveni materijal. Žlijeb plastificirati u boju prema projektu. Lim žlijeba r.š. 60cm, odnosno 40cm.  U stavci uključena izrada labuđeg vrata i spoj na horizontalni žlijeb. </t>
  </si>
  <si>
    <t>Dobava, izrada i montaža vertikalnih žlijebova.</t>
  </si>
  <si>
    <t>Prema geotemehaničkom elaboratu tlo je kategorije C.</t>
  </si>
  <si>
    <t>Stavka obuhvaća iskop, prebacivanje/utovar i transport humusa na privremenu deponiju gradilišta.</t>
  </si>
  <si>
    <t>Iskopani humus se privremeno deponira na gradilištu u svrhu kasnijeg zasipavanja i planiranje (obračunave se u posebnoj stavci).</t>
  </si>
  <si>
    <t xml:space="preserve">Stavka obuhvaća iskop do gornje kote temeljnih traka, odnosno na pojedinim pozicijama do donje kote, te prebacivanje/utovar i transport zemlje na privremenu deponiju gradilište. </t>
  </si>
  <si>
    <t>Iskopana zemlja se privremeno deponira na gradilištu u svrhu kasnijeg zasipavanja  (obračunave se u posebnoj stavci). Vršiti pažljivo, kako ne bi došlo do oštećenja postojećih temelja ili urušavanja.</t>
  </si>
  <si>
    <t xml:space="preserve">Stavka obuhvaća iskop do potrebne kote (prema projektu), te prebacivanje/utovar i transport zemlje na privremenu deponiju gradilište. </t>
  </si>
  <si>
    <t xml:space="preserve">Strojni i ručni  široki iskop za izvedbu ojačanja temelja. </t>
  </si>
  <si>
    <t xml:space="preserve">Strojni I ručni  široki iskop za izvedbu temelja i slojeva poda. </t>
  </si>
  <si>
    <r>
      <t>Izrada, dobava i ugradnja</t>
    </r>
    <r>
      <rPr>
        <b/>
        <sz val="11"/>
        <rFont val="Calibri"/>
        <family val="2"/>
        <scheme val="minor"/>
      </rPr>
      <t xml:space="preserve"> cementne stabilizacije</t>
    </r>
    <r>
      <rPr>
        <sz val="11"/>
        <rFont val="Calibri"/>
        <family val="2"/>
        <scheme val="minor"/>
      </rPr>
      <t xml:space="preserve"> (kameni agregat stabiliziran hidrauličkim vezivom). Stabilizacija se ugrađuje u slojevima max 50 cm.</t>
    </r>
  </si>
  <si>
    <r>
      <t>Dobava i izvedba</t>
    </r>
    <r>
      <rPr>
        <b/>
        <sz val="11"/>
        <rFont val="Calibri"/>
        <family val="2"/>
        <scheme val="minor"/>
      </rPr>
      <t xml:space="preserve"> novog AB trakastog temelja</t>
    </r>
    <r>
      <rPr>
        <sz val="11"/>
        <rFont val="Calibri"/>
        <family val="2"/>
        <scheme val="minor"/>
      </rPr>
      <t>. Temelj je širine 40cm, visine 80cm, nadtemeljni dio je širine 20cm. Izvodi se na sloju mršavog betona. Sloj mršavog betona se izvodi u tlu, a temeljna traka u dvostranoj daščanoj oplati. Obračun po m3 betona, m2 oplate.</t>
    </r>
  </si>
  <si>
    <t xml:space="preserve">Dobava i izvedba novih horizontalnih ab serklaža iznad  zidova. </t>
  </si>
  <si>
    <t>Serklaži su visine 30-40 cm, širina  25cm. Betonira se u dvostranoj daščanoj oplati. Obračun po m3 betona, odnosno m2 oplate.</t>
  </si>
  <si>
    <t>a/ beton temeljne ploče d=50cm</t>
  </si>
  <si>
    <r>
      <t xml:space="preserve">Dobava betona  i izvedba armiranobetonskih </t>
    </r>
    <r>
      <rPr>
        <b/>
        <sz val="11"/>
        <rFont val="Calibri"/>
        <family val="2"/>
        <scheme val="minor"/>
      </rPr>
      <t>zidova prizemlja</t>
    </r>
    <r>
      <rPr>
        <sz val="11"/>
        <rFont val="Calibri"/>
        <family val="2"/>
        <scheme val="minor"/>
      </rPr>
      <t xml:space="preserve">. Zidovi su </t>
    </r>
    <r>
      <rPr>
        <b/>
        <sz val="11"/>
        <rFont val="Calibri"/>
        <family val="2"/>
        <scheme val="minor"/>
      </rPr>
      <t>debljine 20cm i 30cm</t>
    </r>
    <r>
      <rPr>
        <sz val="11"/>
        <rFont val="Calibri"/>
        <family val="2"/>
        <scheme val="minor"/>
      </rPr>
      <t>.</t>
    </r>
  </si>
  <si>
    <t>a/ beton zidova visine od 3,3 do 4m</t>
  </si>
  <si>
    <t>b/ beton zidova visine do 150 cm</t>
  </si>
  <si>
    <r>
      <t xml:space="preserve">Dobava betona  i izvedba armiranobetonske </t>
    </r>
    <r>
      <rPr>
        <b/>
        <sz val="11"/>
        <rFont val="Calibri"/>
        <family val="2"/>
        <scheme val="minor"/>
      </rPr>
      <t xml:space="preserve">stropne ploče prizemlja </t>
    </r>
    <r>
      <rPr>
        <sz val="11"/>
        <rFont val="Calibri"/>
        <family val="2"/>
        <scheme val="minor"/>
      </rPr>
      <t>debljine 22cm. Maksimalna</t>
    </r>
    <r>
      <rPr>
        <b/>
        <sz val="11"/>
        <rFont val="Calibri"/>
        <family val="2"/>
        <scheme val="minor"/>
      </rPr>
      <t xml:space="preserve"> visina podupiranja 340 cm </t>
    </r>
    <r>
      <rPr>
        <sz val="11"/>
        <rFont val="Calibri"/>
        <family val="2"/>
        <scheme val="minor"/>
      </rPr>
      <t>u oplati prema tehnologiji izvođača.</t>
    </r>
  </si>
  <si>
    <r>
      <t xml:space="preserve">Dobava betona  i izvedba armiranobetonske </t>
    </r>
    <r>
      <rPr>
        <b/>
        <sz val="11"/>
        <rFont val="Calibri"/>
        <family val="2"/>
        <scheme val="minor"/>
      </rPr>
      <t xml:space="preserve">stropne ploče  </t>
    </r>
    <r>
      <rPr>
        <sz val="11"/>
        <rFont val="Calibri"/>
        <family val="2"/>
        <scheme val="minor"/>
      </rPr>
      <t>debljine 20cm. Maksimalna</t>
    </r>
    <r>
      <rPr>
        <b/>
        <sz val="11"/>
        <rFont val="Calibri"/>
        <family val="2"/>
        <scheme val="minor"/>
      </rPr>
      <t xml:space="preserve"> visina podupiranja 400 cm </t>
    </r>
    <r>
      <rPr>
        <sz val="11"/>
        <rFont val="Calibri"/>
        <family val="2"/>
        <scheme val="minor"/>
      </rPr>
      <t>u oplati prema tehnologiji izvođača.</t>
    </r>
  </si>
  <si>
    <r>
      <t xml:space="preserve">Dobava betona  i izvedba armiranobetonske </t>
    </r>
    <r>
      <rPr>
        <b/>
        <sz val="11"/>
        <rFont val="Calibri"/>
        <family val="2"/>
        <scheme val="minor"/>
      </rPr>
      <t xml:space="preserve">stropne ploče  </t>
    </r>
    <r>
      <rPr>
        <sz val="11"/>
        <rFont val="Calibri"/>
        <family val="2"/>
        <scheme val="minor"/>
      </rPr>
      <t>debljine 16cm, odnosno 14cm. Maksimalna</t>
    </r>
    <r>
      <rPr>
        <b/>
        <sz val="11"/>
        <rFont val="Calibri"/>
        <family val="2"/>
        <scheme val="minor"/>
      </rPr>
      <t xml:space="preserve"> visina podupiranja 400 cm </t>
    </r>
    <r>
      <rPr>
        <sz val="11"/>
        <rFont val="Calibri"/>
        <family val="2"/>
        <scheme val="minor"/>
      </rPr>
      <t>u oplati prema tehnologiji izvođača.</t>
    </r>
  </si>
  <si>
    <t>a/ beton stropne ploče d=16cm</t>
  </si>
  <si>
    <t>b/ beton stropne ploče d=14cm</t>
  </si>
  <si>
    <r>
      <t>Dobava betona  i izvedba armiranobetonskog</t>
    </r>
    <r>
      <rPr>
        <b/>
        <sz val="11"/>
        <rFont val="Calibri"/>
        <family val="2"/>
        <scheme val="minor"/>
      </rPr>
      <t xml:space="preserve"> jednokrakog stubišta</t>
    </r>
    <r>
      <rPr>
        <sz val="11"/>
        <rFont val="Calibri"/>
        <family val="2"/>
        <scheme val="minor"/>
      </rPr>
      <t>. Stubišni</t>
    </r>
    <r>
      <rPr>
        <b/>
        <sz val="11"/>
        <rFont val="Calibri"/>
        <family val="2"/>
        <scheme val="minor"/>
      </rPr>
      <t xml:space="preserve"> krak</t>
    </r>
    <r>
      <rPr>
        <sz val="11"/>
        <rFont val="Calibri"/>
        <family val="2"/>
        <scheme val="minor"/>
      </rPr>
      <t xml:space="preserve"> </t>
    </r>
    <r>
      <rPr>
        <b/>
        <sz val="11"/>
        <rFont val="Calibri"/>
        <family val="2"/>
        <scheme val="minor"/>
      </rPr>
      <t>širine 155 cm, odnosno 175cm</t>
    </r>
    <r>
      <rPr>
        <sz val="11"/>
        <rFont val="Calibri"/>
        <family val="2"/>
        <scheme val="minor"/>
      </rPr>
      <t xml:space="preserve">, s AB pločom </t>
    </r>
    <r>
      <rPr>
        <b/>
        <sz val="11"/>
        <rFont val="Calibri"/>
        <family val="2"/>
        <scheme val="minor"/>
      </rPr>
      <t>debljine 16 cm</t>
    </r>
    <r>
      <rPr>
        <sz val="11"/>
        <rFont val="Calibri"/>
        <family val="2"/>
        <scheme val="minor"/>
      </rPr>
      <t xml:space="preserve">.  </t>
    </r>
  </si>
  <si>
    <r>
      <t>Dobava betona  i izvedba armiranobetonskog</t>
    </r>
    <r>
      <rPr>
        <b/>
        <sz val="11"/>
        <rFont val="Calibri"/>
        <family val="2"/>
        <scheme val="minor"/>
      </rPr>
      <t xml:space="preserve"> istaka na pročelju</t>
    </r>
    <r>
      <rPr>
        <sz val="11"/>
        <rFont val="Calibri"/>
        <family val="2"/>
        <scheme val="minor"/>
      </rPr>
      <t>. Istak širine 37cm, 48 cm, odnosno 55cm, odnosno 65cm i visine 12cm.</t>
    </r>
  </si>
  <si>
    <r>
      <t>Dobava betona  i izvedba armiranobetonskog</t>
    </r>
    <r>
      <rPr>
        <b/>
        <sz val="11"/>
        <rFont val="Calibri"/>
        <family val="2"/>
        <scheme val="minor"/>
      </rPr>
      <t xml:space="preserve"> istaka u potkrovlju</t>
    </r>
    <r>
      <rPr>
        <sz val="11"/>
        <rFont val="Calibri"/>
        <family val="2"/>
        <scheme val="minor"/>
      </rPr>
      <t>. Istak širine cca 55 cm  i visine 20 cm.</t>
    </r>
  </si>
  <si>
    <r>
      <t xml:space="preserve">Dobava betona i izvedba armiranobetonske </t>
    </r>
    <r>
      <rPr>
        <b/>
        <sz val="11"/>
        <rFont val="Calibri"/>
        <family val="2"/>
        <scheme val="minor"/>
      </rPr>
      <t xml:space="preserve"> ploče vanjskog platoa strojarske opreme</t>
    </r>
    <r>
      <rPr>
        <sz val="11"/>
        <rFont val="Calibri"/>
        <family val="2"/>
        <scheme val="minor"/>
      </rPr>
      <t xml:space="preserve">,   prema zahtjevima određenim statičkim proračunom. </t>
    </r>
  </si>
  <si>
    <r>
      <t xml:space="preserve">Izvedba </t>
    </r>
    <r>
      <rPr>
        <b/>
        <sz val="11"/>
        <rFont val="Calibri"/>
        <family val="2"/>
        <scheme val="minor"/>
      </rPr>
      <t>prodora</t>
    </r>
    <r>
      <rPr>
        <sz val="11"/>
        <rFont val="Calibri"/>
        <family val="2"/>
        <scheme val="minor"/>
      </rPr>
      <t xml:space="preserve"> AB zidova i ploča debljine d=20cm,  22cm, 25cm i 30cm. Prodori se izvode bušenjem dijamantnom krunom u svrhu naknadne montaže instalacija. U cijeni su obuhvaćene sve predradnje, radne skele i sva potrebna oprema. Napomena: prodori koji su ucrtani u planu oplate se trebaju izvesti u oplati i ne obračunavaju u sklopu ove stavke!</t>
    </r>
  </si>
  <si>
    <t>Beton u padu 2%, promjenjive debljine min. 4 do 9 cm.</t>
  </si>
  <si>
    <r>
      <rPr>
        <b/>
        <sz val="11"/>
        <rFont val="Calibri"/>
        <family val="2"/>
        <scheme val="minor"/>
      </rPr>
      <t>Betoniranje betona u padu</t>
    </r>
    <r>
      <rPr>
        <sz val="11"/>
        <rFont val="Calibri"/>
        <family val="2"/>
        <scheme val="minor"/>
      </rPr>
      <t xml:space="preserve"> kao zaštita i podloga završnim slojevima ravnog krova,</t>
    </r>
  </si>
  <si>
    <t>Izvedba spoja (povezivanje) novih ploča i postojećih zidova</t>
  </si>
  <si>
    <t>Obračun po m' poteza spoja zida i stropa.</t>
  </si>
  <si>
    <t>Izvedba novog kompozitnog zida iz kamena i AB izgledom poput postojećih zidova</t>
  </si>
  <si>
    <t>Koristiti postojeći kamen, a u slučaju da ga neće biti dovoljno - potrebno je dobaviti novi kamen (predmet zasebne stavke). Ukupna debljina zida 50cm, od čega je cca 15-20cm dio zida zidan kamenom, a 30-35cm dio zida iz AB. Izvoditi pažljivo. Zidani dio zidati na isti način kao što je zidan postojeći zid. Izvoditi u slojevima odgovarajuće visine, kako bi beton uspio prodrijeti u šupljine uz kameni zid i kako bi zid bi kompaktan bez gnijezda. U stavci obuhvaćen sav potreban rad, dobava materijala, transport, te oplata.</t>
  </si>
  <si>
    <t>Obračun po m2 zida, odnosno oplate.</t>
  </si>
  <si>
    <t>a/ zid</t>
  </si>
  <si>
    <t>b/dvostrana glatka oplata</t>
  </si>
  <si>
    <t>U stavke betonskih radova, ako to nije navedeno potrebno je uključiti i eventualna dodavanja plastifikatora, aeranta i sl. aditiva za vodonepropusnost, smrzavanje i povećanje kvalitete betona ovisno o izloženosti i ostalim traženim zahtjevima s obzirom na lokaciju i vremenske uvjete prilikom ugradnje a u odnosu na tražene teh. karakteristike betona u projektu konstrukcije.</t>
  </si>
  <si>
    <t>Kutije za ostavljanje otvora za instalacije, uračunate su u jediničnu cijenu. Izvedba prodora koji su narisani u oplati je uključena u jediničnu cijenu.</t>
  </si>
  <si>
    <t>ZAHTJEVI IZ PROJEKTA KONSTRUKCIJE :</t>
  </si>
  <si>
    <t>BETON:</t>
  </si>
  <si>
    <t>Beton novih armiranobetonskih elemenata je C 25/30 i C30/37 ovisno o poziciji ugradnje. Sve karakteristike betona su prikazane u tablicama.</t>
  </si>
  <si>
    <t>Beton nearmiranih elemenata i podložni beton je razreda C 16/20 (ugrađen pumpom). Za ugradnju kiblom moguća je klasa C 8/10.</t>
  </si>
  <si>
    <t>Odabrani zaštitni slojevi betona do armature su :</t>
  </si>
  <si>
    <t>Temelji, temeljne trake c = 5.0 cm</t>
  </si>
  <si>
    <t>Zidovi c = 2.5 cm</t>
  </si>
  <si>
    <t>Krakovi stubišta c = 2.5 cm</t>
  </si>
  <si>
    <t>Ploče c = 2.5 cm</t>
  </si>
  <si>
    <t>Stupovi c = 3.0 cm</t>
  </si>
  <si>
    <t>Grede c = 3.0 cm</t>
  </si>
  <si>
    <t>ARMATURA:</t>
  </si>
  <si>
    <t>Šipke – B500B i mreže B500B</t>
  </si>
  <si>
    <r>
      <t xml:space="preserve">Dobava betona  i izvedba armiranobetonskih </t>
    </r>
    <r>
      <rPr>
        <b/>
        <sz val="11"/>
        <rFont val="Calibri"/>
        <family val="2"/>
        <scheme val="minor"/>
      </rPr>
      <t>stupova prizemlja</t>
    </r>
    <r>
      <rPr>
        <sz val="11"/>
        <rFont val="Calibri"/>
        <family val="2"/>
        <scheme val="minor"/>
      </rPr>
      <t>. Stupovi dimenzija</t>
    </r>
    <r>
      <rPr>
        <b/>
        <sz val="11"/>
        <rFont val="Calibri"/>
        <family val="2"/>
        <scheme val="minor"/>
      </rPr>
      <t xml:space="preserve"> 55-58 x 30cm</t>
    </r>
    <r>
      <rPr>
        <sz val="11"/>
        <rFont val="Calibri"/>
        <family val="2"/>
        <scheme val="minor"/>
      </rPr>
      <t>.</t>
    </r>
  </si>
  <si>
    <t xml:space="preserve">Armiranobetonski stupovi izvode se u četverostranoj glatkoj velikoplošnoj oplati ili sl., ovisno o tehnologiji izvođenja. </t>
  </si>
  <si>
    <t xml:space="preserve">b/ trostrana glatka oplata </t>
  </si>
  <si>
    <t xml:space="preserve">c/ četverostrana glatka oplata </t>
  </si>
  <si>
    <t>a/ beton stupova visine od 3,4 do 4m</t>
  </si>
  <si>
    <t xml:space="preserve">Pažljiva demontaža skulptura ispred zgrade. Ispred zgrade se nalaze dvije skulpture koje je potrebno demontirati (uz odobrenje nadležnog konzervatora, dobro i pažljivo zaštititi od oštećenja, te transportirati na lokaciju koju odredi investitor. Po završetku svih radova obnove zgrade skulpture je potrebno vratiti na iste pozicije na kojima su bile, pri pozicioniranju konzultirati konzervatora.
Stavka uključuje sav navedeni rad, te sav transport, zaštitni i pričvrsni materijal. 
</t>
  </si>
  <si>
    <t>Demontaža postojećih skulptura</t>
  </si>
  <si>
    <t>Obračun po kom skulpture.</t>
  </si>
  <si>
    <t xml:space="preserve">a/ skulptura Žena s tačkama R. Petrića </t>
  </si>
  <si>
    <t>b/ skulptura Slovni stup K. Angeli Radovanija</t>
  </si>
  <si>
    <t xml:space="preserve">U stavkama kojima se predviđa uklanjanje postojećih građevina je uključena i izrada tehnološkog projekta uklanjanja, tako da je izvođaču ostavljeno da odabere tehnologiju uklanjanja sukladno mehanizaciji, odnosno logistici kojom raspolaže sa posebnim naglaskom na razvrstavvanje i deponiranje građevinskog otpada kojeg je izvođač dužan zbrinuti o svom trošku (u cijeni rušenja i odvoza materijala). </t>
  </si>
  <si>
    <t xml:space="preserve">Razgradnja i uklanjanje svih postojećih slojeva spuštenog  stropa. Nosiva konstrukcija stropa je drveni grednik. S donje strane drvenog grednika je postavljena kao nosač žbuke trstika i drvene letvice. Potom je odozdo nabačen sloj žbuke, zaglađen i stropovi su završno pregletani i oličeni. S gornje strane daščica i žbuke je nabačen sloj ilovače. Ovom stavkom je predviđeno uklanjanje i demontaža svih navedenih slojeva. Usitnjavanje elemenata u cijeni stavke. Vršiti pažljivo da ne dođe do oštećenja zidova koji se zadržavaju! </t>
  </si>
  <si>
    <t>b/ epoksidni mort</t>
  </si>
  <si>
    <t>c/ čelik</t>
  </si>
  <si>
    <t>a/ bušenje rupe ø20</t>
  </si>
  <si>
    <t>Rogovi su dimenzija 14/16 cm, a nazidnice 16/14 cm. Rogovi su na maksimalnom razmaku od 80 cm. Rogovi se oslanjaju na nazidnice, odnosno ab stropnu ploču.  Način povezivanja s AB konstrukcijom prema projektu konstrukcije - uključeno u stavku.</t>
  </si>
  <si>
    <t xml:space="preserve">Krovovi se pokrivaju falcanim pocinčanim limom debljine 0,9 mm. Razvijena širina traka lima 500mm. </t>
  </si>
  <si>
    <t xml:space="preserve"> Detalj pri dnu i vrhu riješiti na način da je omogućeno prozračivanja krova.</t>
  </si>
  <si>
    <t>Jednobojne glazirane keramičke ploče u tonu crvene opeke (terakote), izražene boje i strukture, najviša razina atmosferske otpornosti, prilagođeno metričkim dimenzijama gradnje, ispunjava zahtjeve za uporabu u eksterijeru, namijenjene za uporabu u sustavima ETICS. Površina klinker pločica ravna.</t>
  </si>
  <si>
    <t>Dobava, izrada i montaža maski radijatora. Radijatori su smješteni ispod prozora uz parapetni zid. Maska sakriva radijator  odozgo i s prednje strane. Bočne strane se uglavnom ne zatvaraju jer se maska na većini pozicija ugrađuje između isturenih AB stupova. Na čeličnu potkonstrukciju se s gornje strane stavlja gornja ploča (kao klupčica) iz drvenih letvica iz masiva ariša. Prednja strana maske je također iz drvenih letvica (ariš), postavljenih vertikalno. Dio prednje strane maske se otvara kao zaokretno vratno krilo - radi pristupa radijatoru. Svi drveni elementi ličeni bezbojnim polumat lakom. U stavci uključen sav rad i materijal (drveni elementi, čelična potkonstrukcija, drvena potkonstrukcija, okov, ličenje i nalič), te sav potreban pričvrsni i dr.  materijal i montaža. Maske različitih dužina  visine do 100cm, te dubine cca 40cm.</t>
  </si>
  <si>
    <t>a/ Maske različitih dužina  visine do 100cm, te dubine cca 40cm.</t>
  </si>
  <si>
    <t>b/ Maske različitih dužina  visine do 50cm, te dubine cca 70cm.</t>
  </si>
  <si>
    <t xml:space="preserve">Izrada, dobava i ugradnja unutarnjih dvokrilnih zaokretnih ostakljenih vrata s fiksnim nadsvjetlom. Panik okov (brava i panik letve, redosljednik zatvaranja) uključen u stavku. Vrata imaju elektroprihvatnik i tipkalo na zidu kako bi se mogla otvoriti u slučaju evakuacije. Min svijetla širina otvorenog glavnog krila 90cm. Ugrađuje se u građ. otvor dimenzija 210cm x 275cm. Obračun po kom. 
</t>
  </si>
  <si>
    <t xml:space="preserve">Izrada, dobava i ugradnja unutarnjih jednokrilnih zaokretnih vrata. Rw,min=39 dB. Vrata sobe s komunikacijskim ormarima su vrata s kontrolom pristupa, imaju elektroprihvatnik. Cilindar s tri ključa. Dimenzije 110/210.  Obračun po kom. 
</t>
  </si>
  <si>
    <t xml:space="preserve">Izrada, dobava i ugradnja vanjskih jednokrilnih zaokretnih ostakljenih vrata s nadsvjetlom (POZ v4) u nastavku kojeg se ugrađuje prozor (POZ v5).   Vrata s dva ostakljena zaokretna krila, te 4 otklopna krila nadsvjetla. Panik okov (brava i letve s redosljednikom zatvaranja) uključen u stavku. Širina vrata 156,5cm, visina vrata 198cm (min svijetlo) + nadsvjetlo 83cm. Širina nadsvjetla 313cm. Vrata s konstrolom pristupa - imaju magnetni kontakt i tipkalo na zidu pored vrata. S vanjske strane vrata - nema kvake, niti vidljive brave ni cilindra. Obračun po kom. 
</t>
  </si>
  <si>
    <t xml:space="preserve">Izrada, dobava i ugradnja vanjske višedijelne stijene. Stijena ima dva zaokretna vratna krila, te niz prozorskih krila. Donja prozorska krila su otklopno zaokretna, a gornja otklopna.  Panik okov (brava i letve s redosljednikom zatvaranja) uključen u stavku. Vrata s konstrolom pristupa - imaju magnetni kontakt i tipkalo na zidu pored vrata. S vanjske strane vrata - nema kvake, niti vidljive brave ni cilindra. Maksimalne dimenzije građ. otvora: širina 445, te visina 299. Obračun po kom. 
</t>
  </si>
  <si>
    <t xml:space="preserve">Izrada, dobava i ugradnja vanjskie ostakljene stijene. Stijena ima dva zaokretna vratna krila, te bočna fiksna polja i fiksno nadsvjetlo. Ugrađuje se u otvor građevinskih dimenzija 314cm x 279cm. Panik okov (brava i letve s redosljednikom zatvaranja iznutra, odnosno kvaku izvana) uključen u stavku. Vrata s kontrolom pristupa - imaju magnetni kontakt i tipkalo na zidu pored vrata. Obračun po kom. 
</t>
  </si>
  <si>
    <t xml:space="preserve">Zvučne klase unutrašnjih vrata:  </t>
  </si>
  <si>
    <t xml:space="preserve">Zvučne klase vasnjskih prozori i vrata: min. Rw=32dB. </t>
  </si>
  <si>
    <t>Rw, min 30-32 dB (1. klasa) za ostala vrata, osim ako nije drugačije navedeno u stavci, kao npr. kod:</t>
  </si>
  <si>
    <t xml:space="preserve">Za ostakljenje unutarnje bravarije koristiti IZO staklo sa dva sloja stakla (6+16+4) koje može postići Rw = 32dB, osim na vratima radnih prostora (učionice, kabineti i sl.) kod kojih je potrebno postići veće vrijednosti. Ostakljenje unutarnjih vrata od kaljenog laminiranog  stakla 55.2 s akustičnom folijom. </t>
  </si>
  <si>
    <t xml:space="preserve">Stupanj propuštanja energije kroz ostakljenje g = 0,41.
</t>
  </si>
  <si>
    <r>
      <t>Koeficijenti prolaza topline: Uw max. = 1,24 W/m</t>
    </r>
    <r>
      <rPr>
        <vertAlign val="superscript"/>
        <sz val="11"/>
        <rFont val="Calibri"/>
        <family val="2"/>
        <scheme val="minor"/>
      </rPr>
      <t>2</t>
    </r>
    <r>
      <rPr>
        <sz val="11"/>
        <rFont val="Calibri"/>
        <family val="2"/>
        <scheme val="minor"/>
      </rPr>
      <t>K, a Uw max. = 0,7 W/m2K. Sve navedene vrijednosti su zahtjevane vrijednosti (koeficijenta prolaza topline za staklo i za okvir, debljine i razmaka stakala, razine zaštite od buke), a prilikom izbora ostakljenih dijelova pročelja Investitor je dužan pridržavati ih se, ali dozvoljeno je koristiti elemente s boljim karakteristikama od traženih - izbor boljeg stakla odnosno okvira će rezultirati i boljom toplinskom i zvučnom zaštitom.</t>
    </r>
  </si>
  <si>
    <t xml:space="preserve">Odabrano:
Ostakljenje prozora dvostrukim IZO staklom min 6- 8mm, vakumska ispuna, low-E. 
</t>
  </si>
  <si>
    <t xml:space="preserve">Vanjska  vrata su predviđena u plastificiranim aluminijskim okvirima s prekinutim toplinskim mostom i toplinski poboljšanim svojstvima, te s ostakljenjem izo staklom.  </t>
  </si>
  <si>
    <t>Otklopno-zaokretni prozori moraju biti opremljeni šarnirima čiji broj ovisi o statičkim uvjetima datim širinom prozora. Otklopni prozori na većim visinama nedostupnim rukovanju sa nivoa poda moraju biti opremljeni mehanizmom pomoću poluge ili elektromotornim pogonom, po potrebi sa pripremom za spajanje na vatrodojavu (navedeno uz svaku pojedinu stavku). Mehanizam sa pomicanjem krila pomoću konopca nije prihvatljiv.</t>
  </si>
  <si>
    <t>Izolacijsko staklo prema EN 1279 ili jednakovrijedno. Odstojnik u međuprostoru izveden iz fleksibilne silikonske pjene sa tvornički apliciranim akrilnim ljepilom na unutarnjoj strani i višeslojnom parnom branom.</t>
  </si>
  <si>
    <t>Uz sva vanjska vrata predvidjeti ugradnju slijepog profila u podu bez toplinskog mosta. Uz sve stavke u vanjskim zidovima predvidjeti slijepi dovratnik/doprozornik - uzeti u obzir da se na špalete u gotovo svim otvorima postavlja 5 cm mineralne vune.</t>
  </si>
  <si>
    <t>Sastavni dio stavke je ekspandirajuća traka koja zadovoljava uvjete vodonepropusnosti-paropropusnosti s vanjske strane, te zrakonepropusnosti-paronepropusnosti sa unutarnje strane, a sve izvesti prema RAL smjernicama ili jednakovrijedno postavljeno po cijelom obodu stijene.</t>
  </si>
  <si>
    <t>Sve radioničke nacrte prije izrade bravarije potrebno je dostaviti projektantu na odobrenje. Tek po odobrenju radioničkog nacrta od strane projektanta može se početi izrađivati bravariju. Sve eventualne nejasnoće uskladiti s projektantom koji odobrava radioničke nacrte.</t>
  </si>
  <si>
    <t>Kod stavki na koje se ugrađuju elektromotori (za otvaranje/zatvaranje u slučaju požara), pri odabiru profila obavezno uzeti u obzir dimenzije elektromotora.</t>
  </si>
  <si>
    <t xml:space="preserve">Svi profili vanjskih vrata i prozora trebaju izvana izgledati poput nekadašnje drvene stolarije - širinom i dubinom svakog elementa, te detaljem. Dozvoljeno je jedno da se profili podebljaju u dubinu (ukoliko je potrebno) radi ugradnje izo stakla. </t>
  </si>
  <si>
    <t xml:space="preserve">Izrada, dobava i ugradnja višedjelne ostakljene prozorske stijene s otklopnim i zaokretnim krilima u otvoru građevinskih dimenzija 324cm x 162cm. Uz stijenu se ugrađuju rolo zastori. Obračun po kom. 
</t>
  </si>
  <si>
    <t xml:space="preserve">Izrada, dobava i ugradnja vanjske višedjelne prozorske stijene u otvor građevinskih dimenzija 472cm x 200cm. Gornja krila su otklopna, a donja krila otklopno zaokretna. Uz stijenu se ugrađuju rolo zastori.  Obračun po kom. 
</t>
  </si>
  <si>
    <t xml:space="preserve">Izrada, dobava i ugradnja vanjske višedjelne prozorske stijene u otvor građevinskih dimenzija 268cm x 200cm. Gornja krila su otklopna, a donja krila otklopno zaokretna. Uz stijenu se ugrađuju rolo zastori.  Obračun po kom. 
</t>
  </si>
  <si>
    <t xml:space="preserve">Izrada, dobava i ugradnja vanjske višedjelne prozorske stijene u otvor građevinskih dimenzija 213cm x 186cm. Gornja i donja krila su otklopna, a srednja krila otklopno zaokretna.  Uz stijenu se ugrađuju rolo zastori. Obračun po kom. 
</t>
  </si>
  <si>
    <t xml:space="preserve">Izrada, dobava i ugradnja vanjske višedjelne prozorske stijene u otvor građevinskih dimenzija 445cm x 204cm. Gornja krila su otklopna, a donja krila otklopno zaokretna. Uz stijenu se ugrađuju rolo zastori.  Obračun po kom. 
</t>
  </si>
  <si>
    <t xml:space="preserve">Izrada, dobava i ugradnja vanjske višedjelne prozorske stijene u dio otvora građevinskih dimenzija 266cm x 204cm. Gornja krila su otklopna, a donja krila otklopno zaokretna. Imati u vidu da se u isti otvor se pored ove aluminijske stijene ugrađuje i protupožarna stijena. Uz stijenu se ugrađuju rolo zastori.  Obračun po kom. 
</t>
  </si>
  <si>
    <t xml:space="preserve">Izrada, dobava i ugradnja vanjske višedjelne prozorske stijene u otvor građevinskih dimenzija 429cm x 250cm. Gornja i donja krila su otklopna, a srednja krila otklopno zaokretna.  Uz stijenu se ugrađuju rolo zastori. Obračun po kom. 
</t>
  </si>
  <si>
    <t xml:space="preserve">Izrada, dobava i ugradnja vanjske ostakljene stijene. Stijena ima dva zaokretna vratna krila, te bočna fiksna polja i fiksno nadsvjetlo. Ugrađuje se u otvor građevinskih dimenzija 533cm x 275cm. Panik okov (brava i letve s redosljednikom zatvaranja iznutra, te kvaka izvana) uključen u stavku. Vrata s kontrolom pristupa - imaju magnetni kontakt i tipkalo na zidu pored vrata. Obračun po kom. 
</t>
  </si>
  <si>
    <t>Prozor, vanjski ostakljeni fiksni (EW 60)   - POZ 4</t>
  </si>
  <si>
    <t xml:space="preserve">Izrada, dobava i ugradnja vanjskog prozora. Prozor ima 1 fiksno polje. Dimenzije 60/60. Min R'w = 32 dB, Uw=1,24 W/m2K, (Uw,dop=1,60 W/m2K) Uf=2,50 W/m2K, Ug=0,70 W/m2K, Ff=0,70, gokom.=0,41, Fc,H=1,00, Fc,C=0,75. Obračun po kom. 
</t>
  </si>
  <si>
    <t>Fugiranje reški na novom kompozitnom zidu iz kamena i betona.</t>
  </si>
  <si>
    <t xml:space="preserve">Stavkom je obuhvaćena i sva potrebna priprema zida. </t>
  </si>
  <si>
    <t>Obračun po m2 plohe zida zidane kamenom.</t>
  </si>
  <si>
    <t>Čišćenje i fugiranje reški na postojećem kompozitnom zidu iz kamena i betona.</t>
  </si>
  <si>
    <t>Fugiranje vapnenom žbukom sitnog granulata. Izraditi minimalno tri uzorka i dostaviti nadležnom konzervatoru i projektantu na odobrenje. Način fugiranja kao na postojećem zidu.</t>
  </si>
  <si>
    <t>Čišćenje postojećeg zida izvoditi pažljivo kako se ne bi oštetio kamen. Potrebno je ukloniti odvojenu i nestabilnu žbuku kojom su zapunjene fuge te ju nadomjestiti vapnenom žbukom sitnog granulata prema konzervatorskom elaboratu. Način fugiranja kao na postojećem zidu. Izraditi minimalno tri uzorka i dostaviti nadležnom konzervatoru i projektantu na odobrenje.</t>
  </si>
  <si>
    <t>Lijepiti visokoelastičnim ljepilom na bazi cementa, d=1 cm; armirano alkalno otpornom staklenom mrežicom, koristiti ljepilo min nosivosti 50 kg/m2.</t>
  </si>
  <si>
    <t>Dodatno sidriti ploče nehrđajućim sponkama prema statičkom proračunu iz radioničkih nacrta.</t>
  </si>
  <si>
    <t>Zbog osiguranja zrakonepropusnosti pročeljnih zidova kod zidanja vanjskog zida od opeke sve reške zapuniti cementnim mortom ili ožbukati vanjsku plohu zida.</t>
  </si>
  <si>
    <t>Kod izvedbe ventilirane obloge voditi računa o osiguravanju otvora za provjetravanje na vrhu i pri dnu provjetravane zidne plohe, minimalne površine otvora 2 ‰ površine zida, može i znatno veća površina. Otvori moraju biti zaštićeni nehrđajućim mrežicama od ulaska štetočina.</t>
  </si>
  <si>
    <t>Potrebno je predvidjeti sprječavanje prijenosa požara kroz ventilirajući sloj u širini prekidne udaljenosti, barijerom – ekspandirajućom trakom koja izvodi prema priznatim pravilima tehničke prakse.</t>
  </si>
  <si>
    <t>Sokl: u visini minimalno 30 cm od tla sloj hidroizolacije podignuti uz vanjski zid, a umjesto mineralne vune sokl zida obložiti pločama vodoneupojnog XPS-a.</t>
  </si>
  <si>
    <r>
      <rPr>
        <b/>
        <sz val="11"/>
        <rFont val="Calibri"/>
        <family val="2"/>
        <scheme val="minor"/>
      </rPr>
      <t>Nabava, dobava i montaža glatkog i akustičkog spuštenog stropa</t>
    </r>
    <r>
      <rPr>
        <sz val="11"/>
        <rFont val="Calibri"/>
        <family val="2"/>
        <scheme val="minor"/>
      </rPr>
      <t>. Obloga dvostrukim glatkim gips-kartonskim pločama d=12.5 mm, odnosno akustičkim pločama na dvostrukoj metalnoj podkontrukciji (CD profili 60/27).  Zvukoupojne gipskartonske ploče (s perforacijama) s podložnim filcom na podkonstrukciji.</t>
    </r>
  </si>
  <si>
    <r>
      <rPr>
        <b/>
        <sz val="11"/>
        <rFont val="Calibri"/>
        <family val="2"/>
        <scheme val="minor"/>
      </rPr>
      <t>Nabava, dobava i montaža akustičkog spuštenog stropa</t>
    </r>
    <r>
      <rPr>
        <sz val="11"/>
        <rFont val="Calibri"/>
        <family val="2"/>
        <scheme val="minor"/>
      </rPr>
      <t>. Obloga akustičkim gipskartonskim pločama  na dvostrukoj metalnoj podkontrukciji (CD profili 60/27).  Zvukoupojne gipskartonske ploče (s perforacijama) s podložnim filcom na podkonstrukciji.</t>
    </r>
  </si>
  <si>
    <r>
      <rPr>
        <b/>
        <sz val="11"/>
        <rFont val="Calibri"/>
        <family val="2"/>
        <scheme val="minor"/>
      </rPr>
      <t>Nabava, dobava i montaža blende (jednostrane pregrade) na pozicijama skokova spuštenog stropa</t>
    </r>
    <r>
      <rPr>
        <sz val="11"/>
        <rFont val="Calibri"/>
        <family val="2"/>
        <scheme val="minor"/>
      </rPr>
      <t>. Izvodi se na mjestima spoja dva spuštena stropa različite visine. Obloga dvostrukim glatkim gips-kartonskim pločama d=12.5 mm, odnosno akustičkim pločama na dvostrukoj metalnoj podkontrukciji.  Zvukoupojne gipskartonske ploče (s perforacijama) s podložnim filcom na podkonstrukciji.</t>
    </r>
  </si>
  <si>
    <t>Isporučuje se u digitalnom obliku (pdf i otvoreni formati), te printanom obliku - u 2 primjerka.</t>
  </si>
  <si>
    <t>Obračun po kompletno izrađenom isporučenom elaboratu.</t>
  </si>
  <si>
    <t>Otvore za prirodnu ventilaciju ventiliranog zračnog prostora izvesti između pokrova i toplinske brane  da bi se na minimum svela mogućnost kondenzacije vodene pare na podgledu pokrova.</t>
  </si>
  <si>
    <t>Minimalni presjeci otvora, za vlažne prostorije, tj. one s relativnom vlažnošću zraka od 60% trebaju biti:</t>
  </si>
  <si>
    <t xml:space="preserve"> - DOZRAČNICI uz vijenac: min. površine dozračnika 10 cm2/m2 površine krovišta – širina proreza min d = 0,5 cm</t>
  </si>
  <si>
    <t xml:space="preserve"> - ODZRAČNICI uz sljeme: min. površine odzračnika 15  cm2/m2 površine krovišta– širina proreza min d = 1,0 cm </t>
  </si>
  <si>
    <t>Opći uvjeti za krovopokrivačke radove:</t>
  </si>
  <si>
    <t>Ugradnja stolarije prema RAL smjernicama (spoj stolarije i zida (međuprostor) treba održati suhim):</t>
  </si>
  <si>
    <t xml:space="preserve"> - iznutra po rubu prozora izvesti vodonepropusnu i paronepropusnu brtvenu traku, foliju ili letvicu </t>
  </si>
  <si>
    <t xml:space="preserve"> - izvana po rubu prozora izvesti vodonepropusnu i paropropusnu brtvenu traku, foliju ili letvicu</t>
  </si>
  <si>
    <t xml:space="preserve"> - kod dijelova zida s unutrašnjom toplinskom izolacijom špalete izvana obložiti slojem toplinske izolacije za prekid toplinskog mosta u najvećoj debljini koja je tehnički izvediva i estetski prihvatljiva</t>
  </si>
  <si>
    <t xml:space="preserve">Profili kao pravokutne cijevi ili kružnecijevi ili L profili.  Obračun po kg. 
</t>
  </si>
  <si>
    <t xml:space="preserve">Dobava i ugradnja raznih manjih čeličnih profila </t>
  </si>
  <si>
    <t>Izvedba spoja zida i Alu stijene.</t>
  </si>
  <si>
    <t xml:space="preserve">''Suženje zida'' se izvodi iz tzv diamantnih (ploča) po jedan sloj obostrano, te s ispunom iz mineralne vune TP120A (TP440). Spoj s profilom putem dva L kutnika. Spoj sa zidom putem dva L kutnika. Razina zvučne zaštite Rw,R min. 43dB. Obračun po m2 izvedenog suženja zida. </t>
  </si>
  <si>
    <t>Obračun po m2 poda na koji su položena, odnosno pričvršćene OSB ploče na podlošcima.</t>
  </si>
  <si>
    <t>Postavlja se u dijelu dvorane (stepenasti dio poda). OSB ploče (reakcije na požar B) se postavljaju na antivibracijske podloške (npr. gumene) na AB ploču. OSB ploče debljine 19mm. Na čelima stuba je potrebno ploče pričvrstiti za betonsku podlogu. U stavci uračunati sav potreban rad i materijal (OSB ploče, podloške, sav pričvrsni i spojni materijal).</t>
  </si>
  <si>
    <t>Nabava, dobava i postava ručnih aparata za početno gašenje požara -  aparat  s 6kg praha.</t>
  </si>
  <si>
    <t>d/ oznaka 1.5</t>
  </si>
  <si>
    <t>e/ oznaka 1.6</t>
  </si>
  <si>
    <t>f/ oznaka 1.7</t>
  </si>
  <si>
    <t>g/ oznaka 1.8</t>
  </si>
  <si>
    <t>h/ oznaka 1.13</t>
  </si>
  <si>
    <t>i/ oznaka 1.14</t>
  </si>
  <si>
    <t>U stavci uključena nabava, dostava i montaža svih kompletnih zastora (platna, vodilice, elektromotori i dr.) do potpune funkcionalnosti.</t>
  </si>
  <si>
    <t>Obračun po kom zastora.</t>
  </si>
  <si>
    <t>Rolo zastori služe za potpuno  zamračivanje učionica u zapadnom dijelu dilatacije A. Iz neprozirnog platna, imaju bočne vodilice, te su upravljani elektromotorom.  Rolo zastor ispred prozora dimenzija 4,45m x 2,02m. Radionički nacrt zastora obavezno dostaviti na odobrenje projektantu. Platno za zastor dostaviti na odobrenje projektantu.</t>
  </si>
  <si>
    <t>RESTAURATORSKI RADOVI</t>
  </si>
  <si>
    <t>Izvedba sondi na postojećoj drvenoj oplati.</t>
  </si>
  <si>
    <t>Potrebno je utvrditi točan ton smeđeg obojenja na hrastovim oplatama na drugim paviljonima, i temeljem nalaza odrediti boju novih oplata na paviljonu 29. Naime, postojeća drvena oplata na predmetnoj zgradi nije originalna. Zgradu i poziciju sondiranja dogovoriti s nadležnim konzervatorom, te investitorom.</t>
  </si>
  <si>
    <t>b/ izrada elaborata istražnih radnji</t>
  </si>
  <si>
    <t>a/ sonda</t>
  </si>
  <si>
    <t xml:space="preserve">Hidroizolacija se izvodi sa polimecementnim hidroizolacijskim premazom. </t>
  </si>
  <si>
    <r>
      <t xml:space="preserve">Dobava i ugradnja </t>
    </r>
    <r>
      <rPr>
        <b/>
        <sz val="11"/>
        <rFont val="Calibri"/>
        <family val="2"/>
        <scheme val="minor"/>
      </rPr>
      <t>hidroizolacijske brtvene trake (profila)</t>
    </r>
    <r>
      <rPr>
        <sz val="11"/>
        <rFont val="Calibri"/>
        <family val="2"/>
        <scheme val="minor"/>
      </rPr>
      <t>.</t>
    </r>
  </si>
  <si>
    <t>Obračun po m' ugrađene trake.</t>
  </si>
  <si>
    <t>Impregnacija kamena</t>
  </si>
  <si>
    <t>Obračun po m2 podne plohe obložene kamenom, odnosno po m2 zida s kamenom oblogom ili ugrađenim kamenom.</t>
  </si>
  <si>
    <t>a/ kamen na podu</t>
  </si>
  <si>
    <t>b/ pročelja s kamenom</t>
  </si>
  <si>
    <t xml:space="preserve">Paneli s vanjske strane završno terbaju biti impregnirani, kako bi kamen bio zaštićen - uključiti u stavku. </t>
  </si>
  <si>
    <t>U svemu se pridržavati uputa i preporuka proizvođača odabranog sredstva za impregnaciju. Vrstu impregnacije usuglasiti s impregnacijom fasadnih panela kako bi se dobio ujednačen izgled kamena na pročelju.</t>
  </si>
  <si>
    <t>Paneli drvene obloge su iz hrastovog masiva. Izrađuju se iz letvica (vertikala različitih debljina - od 1cm do 4cm, koje se pričvršćuju za horizontale. Letvice se slažu prema shemi, jedna do druge, te mjestimično na malom razmaku kako bi se osiguralo provjetravanje zida. Završno lakirati polumat lakom za parkete (podne obloge). Visina obloge (gornja kota klupčice) je 117cm.  Pričvršćenje za zid: sidrenjem u AB s ankerfixom, obavezno na način da ostane vodonepropusno (zid za koji se pričvršćuje ima HI s unutarnje strane). Koristiti brzootvrdnjavajuće dvokomponentno poliestersko ljepilo za sidrenje, bez otapala i stirena.</t>
  </si>
  <si>
    <t xml:space="preserve">Traka na bazi akrila ugrađuje se na spojevima zid-zid, temelj-zid, na svim prekidima betoniranja. Izvoditi sukladno preporuci proizvođača odabrane trake. </t>
  </si>
  <si>
    <t>Brtvljenje  dilatacije na nivou AB konstrukcija elastičnom  vodonepropusnom trakom  na bazi TPO razvijene širine 30cm i debljine 2 mm. Traka se lijepi za AB konstrukciju  eposidnim mortom  iz sustava istog proizvođača.</t>
  </si>
  <si>
    <t>Traka debljine 2,0mm;  vlačna čvrstoća trake uzdužna/poprečna  min. 16 N/mm2 ; otpornost spoja  na kidanje: min. 570 N/50 mm.</t>
  </si>
  <si>
    <t xml:space="preserve">Traka se ugrađuje između dva sloja epoksidnog morta i potrošnji od 1,0 kg/m'. Epoksidni mort dok je je još svijež  dobro zakvarcati (0,3-0,8mm) do zasićenja. Nakon sušenja ukloniti višak kvarca. </t>
  </si>
  <si>
    <t xml:space="preserve">Spoj s bitumenkom HI membranom  na AB ploči izvesti primjenom hladnog bitumenskog premaza u širini preklopa od cca 30,0cm. Spoj dilatacijske trake sa integriranom FPO HI membanom na vertikalnom dijelu zida izvesti ljepljenjem trake epoksidom uz prethodnu pripremu integrirane FPO  membrane za prihvat epoksidnog ljepila, sve prema detalju i  uputi poizvođača HI. </t>
  </si>
  <si>
    <t>Dvokomponentno epoksidno tiksotropno ljepilo za lijepljenje (FPO) hidroizolacijskih traka na različite podloge.</t>
  </si>
  <si>
    <t>Ovom grupom radova obuhvaćeni su nužni građevinski radovi na uređenju okoliša. Ovim stavkama potrebno je za svaku pojedinu radnju u okviru jedinične cijene obuhvatiti: kompletnu pripremu, iskolčenje, pozicioniranje, nabavu i dopremu materijala, gradilišne transporte, ugradnju, pomoćne materijale, svu potrebnu mehanizaciju, alate, radnu snagu, organizaciju gradilišta, zaštitu na radu, gradilišnu prometnu regulaciju, demobilizaciju strojeva i mehanizacije, odvoz viška materijala nakon radova, takse deponija i sve ostale radove na uređenju okoliša. Cijena svake podstavke dakle podrazumijeva dobavu, transporte, ugradnju i svu potrebnu logistiku odnosno sve troškove i zarade izvođača za ukupno dovršenje pojedinog posla.</t>
  </si>
  <si>
    <t>Ovim radovima predviđa se sanacija vanjskih pješačkih, kolnih i zelenih površina po dovršetku radova obnove i poboljšanja predmetnog kompleksa ''FSB Sjever'', a uvažavajući i novo projektirane intervencije u okolišu kao što je izgradnja evakuacijskih stubišta i prilagodba prometnih i pješačkih površina. Također se ovim stavkama predviđa sanacija površina nakon provedenih radova na rekonstrukciji postojećih instalacija odnosno izvedbi novih instalacija.</t>
  </si>
  <si>
    <t>Proračunska kvadratura postojećih zelenih površina iznosi cca 3500 m2, a pješako/prometnih površina cca 7000 m2, uz napomenu da se sanacija površina predviđa samo na dijelovima koji su devastirani tijekom radova i/ili su rekonstruirani u okviru ovog projekta.</t>
  </si>
  <si>
    <t>'Rušenje postojećeg asfalta ukupne debljine do 15 cm i odvoz na javnu deponiju</t>
  </si>
  <si>
    <t xml:space="preserve">Obračun po m2 površine </t>
  </si>
  <si>
    <t>a/ iskolčenje novih instalacija</t>
  </si>
  <si>
    <t>Obračun po m2 površine, odnosno m' trase instalacije.</t>
  </si>
  <si>
    <t>b/ iskolčenje pješačkih i prometnih površina koje se rekonstruiraju radi izvedbe zahvata obnove (preblizu su zgradi i bit će ih neophodno ukloniti kako bi se mogli izvesti novi temelji i ojačanja temelja)</t>
  </si>
  <si>
    <t>kmpl</t>
  </si>
  <si>
    <t>Pripremni radovi organizacije gradilišta za radove u okolišu (mobilizacija strojeva, gradilišne ograde, znakovi zaštite na radu, privremeni priključci vode i struje, gradilišni kontejneri itd.).</t>
  </si>
  <si>
    <t>Plan izvođenja radova u okolišu sa shemom organizacije gradilišta. Predati u printanom i digitalnom obliku koordinatoru znr u fazi izvođenja radova.</t>
  </si>
  <si>
    <t>Rušenje postojećih betonskih rubnjaka i odvoz na javnu deponiju</t>
  </si>
  <si>
    <t>Rušenje postojećih AB površina debljine do 15cm i odvoz na javnu deponiju</t>
  </si>
  <si>
    <t>Rušenje postojećih slivnika sa utovarom i odvoz na javnu deponiju</t>
  </si>
  <si>
    <t>'Dobava, transport i ugradnja tamponskog kamenog materijala 0-32 mm sa postizanjem MS=80MPa</t>
  </si>
  <si>
    <t>'Dobava, transport i ugradnja novih  rubnjaka (istih kao postojeći).</t>
  </si>
  <si>
    <t>Dobava, transport i ugradnja novog humusnog sloja za zelene površine debljine 20 cm, uključivo i sijanje trave te održavanje do primopredaje radova</t>
  </si>
  <si>
    <t>Rušenje, utovar, odvoz i zbrinjavanje na javnu deponiju dotrajalih i oštećenih kulir ploča na pješačkim stazama dimenzija 40x40x4 - 50x50x4 cm</t>
  </si>
  <si>
    <t>Dobava, transport i ugradnja habajućeg asfalta AC 11 surf debljine 4 cm za srednje prometno opterećenje, u skladu s Tehničkim propisom za asfaltne kolnike</t>
  </si>
  <si>
    <t>'Dobava, transport i ugradnja nosivog asfalta AC 22 base debljine 8 cm za srednje prometno opterećenje, u skladu s Tehničkim propisom za asfaltne kolnike</t>
  </si>
  <si>
    <t>Dobava, transport i izvedba novih slivnika s taložnicom dubine do 2,5 m, od betonskih cijevi sa betonskom košuljicom, uključivo AB temeljna ploča i rasteretna ploče C20/25, te lijevano-željezna rešetka</t>
  </si>
  <si>
    <t>Obračun po kom</t>
  </si>
  <si>
    <t>Dobava materijala, transport i izvedba novih armirano betonskih pješačkih površina betonom C30/37 armirano mrežom Q275. Debljina 15cm.</t>
  </si>
  <si>
    <t>Obračun po m3 betona, odnosno kg armature.</t>
  </si>
  <si>
    <t>b/armatura B500B mreže</t>
  </si>
  <si>
    <t>c/armatura B500B šipke</t>
  </si>
  <si>
    <t>Polaganje netkanog tekstila (Geotextil)</t>
  </si>
  <si>
    <t>'Dobava materijala, transport i ugradnja novih kulir ploča dimenzija do 50x50x4 cm, na pješačkim stazama na AB podlogu</t>
  </si>
  <si>
    <t>Betonski opločnici</t>
  </si>
  <si>
    <t>Dobava materijala, transport i ugradnja novih kulir ploča dimenzija do 50x50x4 cm, na pješačkim stazama na nasipu pijeska</t>
  </si>
  <si>
    <t>Čišćenje zone zahvata u okolišu</t>
  </si>
  <si>
    <t>Čišćenje kompletne zone zahvata nakon radova u okolišu (cca 1 000 m2), odvoz suvišnog materijala te popravak oštećenih površina i povratak u prvobitno stanje</t>
  </si>
  <si>
    <t>Da li nešto od ovog imam u zemljanim??</t>
  </si>
  <si>
    <t>Predmetna zgrada je dio kompleksa Grada mladih koji je zaštićeno kulturno dobro - uključujući zelene površine.</t>
  </si>
  <si>
    <t>Cijeli kompleks je na terenu u padu. Unutar kompleksa postoje interne prometnice (staze) male širine 2,5 - 3m. Nije poznato da kolika je nosivost ovih prometnica, ali moguće je koristiti ih za prilaz osobnim vozilom.</t>
  </si>
  <si>
    <t>U kompleksu Grada mladih se nalazi više paviljona koji bi se trebali neometano koristiti za vrijeme odvijanja radova na obnovi zgrade škole.</t>
  </si>
  <si>
    <t xml:space="preserve"> Kompleks ima više ulaza, ali su oni zatvoreni i koristi se samo jedan ulaz. Potrebno je s investitorom dogovoriti da li je moguće koristiti neki od drugih ulaza za potrebe gradilišta.</t>
  </si>
  <si>
    <t>Obzirom na zahtjevnost zahvata i specifičnost zgrade i lokacije, preporučuje se da potencijalni ponuđač svakako obiđe lokaciju i zgrade prije davanja ponude  i sagledaju mogućnosti organizacije gradilišta, te pristupe zgradi unutar kompleksa.</t>
  </si>
  <si>
    <t>OPĆI UVJETI ZA SVE RADOVE</t>
  </si>
  <si>
    <t>Pod terminom ''dobava'' se misli na nabavu i dostavu na gradilište.</t>
  </si>
  <si>
    <t xml:space="preserve"> Sve poduporne konstrukcije moraju biti izvedene prema prethodno izrađenom i odobrenom tehnološkom projektu podupiranja.</t>
  </si>
  <si>
    <t>Izrada projekta akustike prostora dvorane.</t>
  </si>
  <si>
    <t>Projektom je potrebno napraviti analizu akustike prostora dvorane kao prostora s većim zahtjevima za akustiku - obzirom na projektom predviđene materijale, te opremu koja će se ugraditi. U sklopu elaborata izraditi sve potrebne radioničke nacrte stropne i zidne akustičke  obloge, na osnovu kojih će se moći izvesti akustičke obloge dvorane.</t>
  </si>
  <si>
    <t>Projekt može izraditi osoba specijalizirana za akustiku.</t>
  </si>
  <si>
    <t xml:space="preserve">Ova stavka izvodi se isključivo po odobrenju i uputama nadzornog inženjera. </t>
  </si>
  <si>
    <t xml:space="preserve">Štemanje i šlicanje zidova od opeke u svrhu  polaganja raznih cijevi odvodnje i vodovoda, strojarskih instalacija te polaganje kablova elektroinstalacija. </t>
  </si>
  <si>
    <t>VANJSKE STUBE ZGRADE</t>
  </si>
  <si>
    <t>OPĆI POGODBENI I TEHNIČKI UVJETI ELEKTROINSTALACIJA</t>
  </si>
  <si>
    <t>Ugovor za izvođenje sklapa se na osnovu ugovornog troškovnika. U cijenama troškovnika izvođač je dužan ponuditi kompletne stavke prema opisu, troškovniku, nacrtima, tehničkom opisu i uvjetima.</t>
  </si>
  <si>
    <t>U cijenu stavke treba ukalkulirati sav materijal i rad (sa izradom šliceva i prodora kroz zidove i ploču)  te potrebna mjerenja i ispitivanja.</t>
  </si>
  <si>
    <t>Izvođač radova dužan je po završetku radova dostaviti investitoru upute za rukovanje instalacijama i opremom.</t>
  </si>
  <si>
    <t>Prije početka izvođenja radova, izvođač je dužan obavitii pregled lokacije i o eventualnim odstupanjima projekta od stvarnog stanja upozoriti investitora.</t>
  </si>
  <si>
    <t>Izvođač radova mora se prije početka izvođenja radova upoznati s projektnom dokumentacijom.</t>
  </si>
  <si>
    <t>Ako uoči neke nedostatke, treba odmah s uočenim nedostacima upoznati investitora i projektanta.</t>
  </si>
  <si>
    <t>Prije početka radova treba odrediti točne trase kabela, kabelskih kanalica i većih komada opreme, a tek onda početi s polaganjem vodova i izvođenjem instalacija. Pritom paziti na propisani razmak u odnosu na druge instalacije i građevine.</t>
  </si>
  <si>
    <t xml:space="preserve">Mijenjanje projekta od strane izvođača bez pismenih odobrenja investitora i nadzornog inženjera nije dozvoljeno.  </t>
  </si>
  <si>
    <t>Izvođač treba tijekom izvođenja radova na građevini voditi građevinski dnevnik u koji upisuje početak izvođenja radova na objektu, svakodnevno upisuje broj ljudi na radu i poslove koje su obavili.</t>
  </si>
  <si>
    <t>U građevinksi dnevnik nadzorni inženjer i investitor upisuju primjedbe na izvedene radove i eventualne promjene projekta.</t>
  </si>
  <si>
    <t>Radi ispravnog odvijanja radova izvođač je dužan osigurati prostoriju za smještaj materijala i alata.</t>
  </si>
  <si>
    <t>Prije stavljanja instalacije u pogon i tehničkog pregleda izvođač je dužan izvršiti slijedeća mjerenja i ispitivanja:</t>
  </si>
  <si>
    <t>Popis ispitivanja i atesta elektroenergetske instalacije niskog napona</t>
  </si>
  <si>
    <t>Provjera pregledom</t>
  </si>
  <si>
    <t xml:space="preserve"> - Atest i certifikati ugrađene opreme i kabela</t>
  </si>
  <si>
    <t xml:space="preserve"> - Atest o izvršenom mjerenju otpora izolacije</t>
  </si>
  <si>
    <t xml:space="preserve"> - Atest o izvršenom mjerenju otpora uzemljenja metalnih masa</t>
  </si>
  <si>
    <t xml:space="preserve"> - Atest o izvršenoj kontroli efikasnosti zaštite od indirektnog  napona dodira</t>
  </si>
  <si>
    <t xml:space="preserve"> - Atest o izvršenom mjerenju jakosti rasvjete</t>
  </si>
  <si>
    <t xml:space="preserve"> - Atest o izvršenom funkcionalnom ispitivanju</t>
  </si>
  <si>
    <t xml:space="preserve"> - Atest o funkcionalnom ispitivanju isklapanja glavnih prekidača</t>
  </si>
  <si>
    <t xml:space="preserve"> - Reviziona knjiga sustava za zaštitu od djelovanaj munje</t>
  </si>
  <si>
    <t xml:space="preserve"> - Ispitni listovi razvodnih ormara</t>
  </si>
  <si>
    <t xml:space="preserve"> - Atest o ispitivanju protupanične rasvjete</t>
  </si>
  <si>
    <t xml:space="preserve"> - Popis podešenja svih prekidača i njihove oznake u pripadajućim ormarima</t>
  </si>
  <si>
    <t xml:space="preserve">Popis ispitivanja instalacija slabe struje  </t>
  </si>
  <si>
    <t xml:space="preserve"> - Provjera pregledom</t>
  </si>
  <si>
    <t xml:space="preserve"> - Atest o mjerenju gušenja instalacije</t>
  </si>
  <si>
    <t xml:space="preserve"> - Funkcionalno ispitivanje</t>
  </si>
  <si>
    <t xml:space="preserve"> - Atesti o izvršenom ispitivanju telefonske instalacije - linije strukturnog kabliranja</t>
  </si>
  <si>
    <t xml:space="preserve"> - Atesti o izvršenom ispitivanju antenske instalacije</t>
  </si>
  <si>
    <t xml:space="preserve"> - Atesti o izvršenom ispitivanju pozivne SOS instalacije</t>
  </si>
  <si>
    <t>Za sva mjerenja i ispitivanja koja su izvršena sastaviti odgovarajuće izvještaje.</t>
  </si>
  <si>
    <t>Svaki izvođač ima pravo izbora kome će povjeriti ispitivanje kvalitete i funkcionalnosti električnih instalacija i opreme, no to svakako mora biti ovlaštena pravna osoba.</t>
  </si>
  <si>
    <t>Troškove ispitivanja snosi izvođač.</t>
  </si>
  <si>
    <t>Izvođač za svoje radove daje garanciju.</t>
  </si>
  <si>
    <t xml:space="preserve">Garantni rok počinje teći od dana tehničkog prijema instalacije, odnosno od dana predaje instalacije na upotrebu investitoru odnosno korisniku. </t>
  </si>
  <si>
    <t>Izvođač je dužan otkloniti sve nedostatke u garantnom roku. Ako se izvođač ne odazove na poziv investitora da otkloni nedostatke, investitor će iste otkloniti po trećem licu na teret izvođača.</t>
  </si>
  <si>
    <t>Sav korišteni materijal , oprema i proizvodi koji se upotrebljavaju kod izvođenja instalacija moraju odgovarati postojećim propisima i normama, kao i opisu u troškovniku.</t>
  </si>
  <si>
    <t>Radove treba izvesti točno prema nacrtima i tehničkom opisu, a po uputama projektanta i nadzornog inženjera. Radove izvesti stručno i solidno.</t>
  </si>
  <si>
    <t>Tijekom izvođenja radova izvođač je dužan sva nastala odstupanja trasa od onih predviđenih projektom unesti u projekt, a po završetku radova treba predati investitoru projekt izvedenog stanja.</t>
  </si>
  <si>
    <t>Stavljanje instalacije u uporabu dozvoljeno je tek nakon obavljenog tehničkog pregleda i dobivanja uporabne dozvole.</t>
  </si>
  <si>
    <t>Ako troškovnikom i tehničkim opisom nije drugačije određeno, narudžba materijala i opreme obuhvaća dobavu, skladištenje i dopremu na gradilište.</t>
  </si>
  <si>
    <t>Za sav ugrađeni materijal i proizvode treba osigurati i priložiti isprave o sukladnosti   i druge dokaze kvalitete, te odgovarjauću atesnu i ispitnu dokumentaciju.</t>
  </si>
  <si>
    <t>18.</t>
  </si>
  <si>
    <t>Nadzorni inženjer mora imati uvid u terminski plan.</t>
  </si>
  <si>
    <t>Za svako neopravdano produženje termina koje utvrdi nadzorni inženjer odredit će se kazna prema Ugovoru za izvođenje.</t>
  </si>
  <si>
    <t>19.</t>
  </si>
  <si>
    <t>Izvođač daje jamstvo da, kod prenošenja dijela ugovora na jednog ili više kooperanata, preuzima sve ugovorne obveze iz ugovora zaključenog sa investitorom, te da će se istog pridržavati.</t>
  </si>
  <si>
    <t>20.</t>
  </si>
  <si>
    <t>Ako drugačije nije dogovoreno, izvođač treba, bez posebnih zahtjeva, svakodenevno čistii radni prostor.
Izvođač mora u toku gradnje iz gradilišta odvesti svu građevinsku šutu, sav otpadni materijal i nepotrebne uređaje.</t>
  </si>
  <si>
    <t>21.</t>
  </si>
  <si>
    <t>Pri izvođenju radova izvođač je dužan voditi računa o već izvedenim radovima na građevini.</t>
  </si>
  <si>
    <t>Ako bi se izvedeni radovi drugih izvođača pri montaži električnih instalacija i opreme nepotrebno i uslijed nemarnosti i nestručnosti oštetili, troškove štete snosit će izvođač električnih instalacija.</t>
  </si>
  <si>
    <t>22.</t>
  </si>
  <si>
    <t>Rušenje i retanje konstruktivnih elemenata ne smije se obaviti bez znanja i odobrenja nadzornog inženjera za građevinske radove.</t>
  </si>
  <si>
    <t>23.</t>
  </si>
  <si>
    <t>Investitor je dužan tijekom izgradnje građevine osigurati stručni nadzor nad izvođenjem radova.</t>
  </si>
  <si>
    <t>24.</t>
  </si>
  <si>
    <t>Cjelokupnu električnu instalaciju treba izvesti prema priloženim nacrtima, troškovniku, tehničkom opisu, ovim uvjetima i važećim propisima za izvođenje električnih instalacija, odnosno tehničkim propisima za niskonaponske električne instalacije (NN br. 05/10) i propisima RH.</t>
  </si>
  <si>
    <t>OPĆE NAPOMENE:</t>
  </si>
  <si>
    <t xml:space="preserve">1. U svakoj stavci nuditi konkretni proizvod (opremu) specificiranu ovim troškovnikom ili  proizvod jednakovrijednih (kvalitativnih) tehničkih karakteristika.
</t>
  </si>
  <si>
    <t xml:space="preserve">2. Cijena za svaku stavku troškovnika mora obuhvatiti dobavu, montažu i spajanje, te dovođenje u stanje potpune funkcionalnosti. U cijenu također ukalkulirati sav potreban  spojni, montažni i ostali materijal i pribor. 
</t>
  </si>
  <si>
    <t xml:space="preserve">3. Primijeniti najnovije važeće propise i hrvatske norme za pojedine vrste instalacije. 
</t>
  </si>
  <si>
    <t>4. Prije davanja ponude obavezno proučiti tehnički opis i grafički dio, te u slućaju nejasnoća, konzultirati se sa naručiteljem.</t>
  </si>
  <si>
    <t>Sve stavke specifikacije podrazumjevaju dobavu i montažu opreme, kao i polaganje i spajanje kabela, te dovođenje predmetne instalacije u funkciju.
Sva oprema mora biti renomiranih proizvođača i imati ateste na hrvatskom jeziku.</t>
  </si>
  <si>
    <t>NN PRIKLJUČAK</t>
  </si>
  <si>
    <t xml:space="preserve">Dobava, montaža i spajanje priključnog ormara KPO sa metalnim vratima i bravom, ormar prema specifikaciji ili zahtjevu HEP-a, sa ugrađenom opremom:                                                       </t>
  </si>
  <si>
    <t>NV rastavna sklopka vel.1|250A|3P, M10, na montažnu ploču</t>
  </si>
  <si>
    <t>Kom</t>
  </si>
  <si>
    <t>NV osigurač vel. 1, 200A/400V AC</t>
  </si>
  <si>
    <t>Nosač sabirnica, 3-polni, sustav 60mm</t>
  </si>
  <si>
    <t>Završni pokrov za 3P nosač sabirnica, sustav 60mm</t>
  </si>
  <si>
    <t>Bakrena sabirnica 573A (630A), 30x10mm, duljina 2m</t>
  </si>
  <si>
    <t>Pokrov sabirnice 12-30mm x 10mm, T i TT profila, duljina 1m</t>
  </si>
  <si>
    <t>Priključna ploča, 3-polna, sustav 60mm, 35-120mm², Cu</t>
  </si>
  <si>
    <t>Potporni izolator, 45x40mm, 2xM10, 8kN</t>
  </si>
  <si>
    <t>Strujni trafo, 150/5A</t>
  </si>
  <si>
    <t>Odvodnik prenapona kl.B/C TNS 275/25</t>
  </si>
  <si>
    <t>Zaštitni prekidač, B karakteristika, 6A, 1-polni, 10kA</t>
  </si>
  <si>
    <t>Zaštitni prekidač, C karakteristika, 10A, 1-polni, 10kA</t>
  </si>
  <si>
    <t>Higrostat/termostat 0-60°C, 40-90% rH, 1 C/O</t>
  </si>
  <si>
    <t>Grijač 100W/130°C, s priklj. stezaljkama,110-250V AC/DC,IP44</t>
  </si>
  <si>
    <t>NV rastavna sklopka vel.00|160A|3P, M8, na montažnu ploču</t>
  </si>
  <si>
    <t>NV osigurač vel. 00, 63A/400V AC</t>
  </si>
  <si>
    <t>Kompaktni prekidač snage tip A, 3P/200A/50kA</t>
  </si>
  <si>
    <t>Uzidni okvir s vratima min. dim. 1195x810x89mm (VxŠxD), širina brojila: 3, visinska jedinica: 24</t>
  </si>
  <si>
    <t>Zidna kada, dubine 250mm, min. dim. 1190x800x245mm (VxŠxD), širina brojila: 3, visinska jedinica: 24</t>
  </si>
  <si>
    <t>Bočne stranice, dubine 150mm, min. dim. 1082x24x150mm (VxŠxD), širina, visinska jedinica: 24</t>
  </si>
  <si>
    <t>Mont. ploča, 7 vis.jedinica</t>
  </si>
  <si>
    <t>Montažni nosač</t>
  </si>
  <si>
    <t>Set za brtvljenje razvodnog ormara</t>
  </si>
  <si>
    <t>kpl.</t>
  </si>
  <si>
    <t>Spremnik za dokumentaciju, samoljepljivi, A4</t>
  </si>
  <si>
    <t>Sitni materijal za ožićenje - kanalice. Din šine, uvodnice, stezaljke …</t>
  </si>
  <si>
    <t>Ožičenje i ispitivanje ormara</t>
  </si>
  <si>
    <t>Iskolčenje, spajanje, obilježavanje, ispitivanje i puštanje u pogon postojećeg NN kabela NAYY-0 4x150mm2 SM +1,5RE 0,6/1 (1,2). Obračun po kompletu izvedene stavke.</t>
  </si>
  <si>
    <t>NN PRIKLJUČAK UKUPNO:</t>
  </si>
  <si>
    <t>RAZVODNI ORMARI</t>
  </si>
  <si>
    <t>Kompaktni prekidač snage tip EN, 3P/400A/50kA</t>
  </si>
  <si>
    <t>Daljinski isklopnik, 220-240V AC</t>
  </si>
  <si>
    <t>Zaštitni prekidač, C karakteristika, 6A, 1-polni, 10kA</t>
  </si>
  <si>
    <t>Gljivasta tipka, crvena, deblokada zakretom</t>
  </si>
  <si>
    <t>Sprežni element</t>
  </si>
  <si>
    <t>Sklopni element, N/O (radni), prednja montaža</t>
  </si>
  <si>
    <t>Zaštitna kragna za gljivasta tipkala, žuta</t>
  </si>
  <si>
    <t>Instalacijski sklopnik 25A | 1 N/O | 230V AC</t>
  </si>
  <si>
    <t>Instalacijski sklopnik 25A | 1 N/O + 1 N/C | 230V AC</t>
  </si>
  <si>
    <t>Instalacijski sklopnik 25A | 2 N/C | 230V AC</t>
  </si>
  <si>
    <t>Strujni trafo, 200/5A</t>
  </si>
  <si>
    <t>Strujni trafo, 60/5A</t>
  </si>
  <si>
    <t>NV osigurač vel. 00, 160A/400V AC</t>
  </si>
  <si>
    <t>NV osigurač vel. 00, 100A/400V AC</t>
  </si>
  <si>
    <t>NV osigurač vel. 00, 80A/400V AC</t>
  </si>
  <si>
    <t>NV osigurač vel. 00, 50A/400V AC</t>
  </si>
  <si>
    <t>NV osigurač vel. 00, 40A/400V AC</t>
  </si>
  <si>
    <t>NV osigurač vel. 00, 35A/400V AC</t>
  </si>
  <si>
    <t>NV osigurač vel. 00, 25A/400V AC</t>
  </si>
  <si>
    <t>NV rastavna sklopka vel.000|125A|3P, box stez.50mm2, na 60mm</t>
  </si>
  <si>
    <t>NV osigurač vel. 00, 32A/400V AC</t>
  </si>
  <si>
    <t>Kompletna signalna LED svjetiljka za ugradnju u otvor, 230V AC, zelena</t>
  </si>
  <si>
    <t xml:space="preserve">Višenamjenski mjerni uređaj za mjerenje parametara trofazne izmjenične struje i energije. Priključak pretvarača sa sekundarnom strujom od 1/5 A. DIN-šine-Montaža. Mjerene varijable: A, V, kW, kVA, kvar, Wh, varh, Hz, faktor snage, THD. Sučelje: USB i RS-485 Modbus
3 relejna izlaza. Pulsni izlaz. Vijčane stezaljke. 
Prikaz: LED 
Napajanje: 85 - 253 V/AC / 90 - 300 V DC.                                                                                                                                 U stavku uračunata  dobava, montaža i spajanje, te dovođenje opreme u stanje potpune funkcionalnosti.                                                                                      </t>
  </si>
  <si>
    <t>Sklopnik 3P |37kW (74A) [AC3] / 130A [AC1] | 230V AC</t>
  </si>
  <si>
    <t>Sklopnik 3P |30kW (62A) [AC3] / 120A [AC1] | 230V AC</t>
  </si>
  <si>
    <t>Sklopnik 3P |18.5kW (40A) [AC3] / 80A [AC1] | 230V AC</t>
  </si>
  <si>
    <t>Zaštitni prekidač, C karakteristika, 25A, 1-polni, 10kA</t>
  </si>
  <si>
    <t>LS-FI (KZS), C/16A/30mA, 1P+N, Tip AC, 10kA</t>
  </si>
  <si>
    <t>LS-FI (KZS), C/20A/30mA, 1P+N, Tip AC, 10kA</t>
  </si>
  <si>
    <t>FID sklopka 40A/4P/30mA/AC, 10kA</t>
  </si>
  <si>
    <t>FID sklopka 25A/4P/30mA/AC, 10kA</t>
  </si>
  <si>
    <t>Zaštitni prekidač, C karakteristika, 32A, 3-polni, 10kA</t>
  </si>
  <si>
    <t>Zaštitni prekidač, C karakteristika, 25A, 3-polni, 10kA</t>
  </si>
  <si>
    <t>Rastavna sklopka za cilindrične osigurače 14x51mm, 3P/50A</t>
  </si>
  <si>
    <t>Cilindrični osigurač, 14x51, 32A, gG, 500V AC</t>
  </si>
  <si>
    <t>Zaštitni prekidač, B karakteristika, 10A, 1-polni, 10kA</t>
  </si>
  <si>
    <t>Zaštitni prekidač, B karakteristika, 16A, 1-polni, 10kA</t>
  </si>
  <si>
    <t>Zaštitni prekidač, C karakteristika, 16A, 1-polni, 10kA</t>
  </si>
  <si>
    <t>Zaštitni prekidač, C karakteristika, 20A, 1-polni, 10kA</t>
  </si>
  <si>
    <t>Instalacijski sklopnik 25A | 1 N/O</t>
  </si>
  <si>
    <t>Instalacijski sklopnik 25A | 2 N/O | 230V AC</t>
  </si>
  <si>
    <t>Uklopni sat, analogni, dnevni program, 1 N/O, 1ŠM</t>
  </si>
  <si>
    <t>Svjetlosna sklopka, analogna, 2-2.000lx, 1 kanal, 16A/250V</t>
  </si>
  <si>
    <t>Grebenasta sklopka, 1-0-2/1P/20A, montaža na vrata</t>
  </si>
  <si>
    <t>Kompletna signalna LED svjetiljka za ugradnju u otvor, 230V AC, crvena</t>
  </si>
  <si>
    <t>Relej snage, 1C/O, 16A, 230VAC serije RT, raster 5mm</t>
  </si>
  <si>
    <t>Podnožje 8-polno I/O 5.0 za XT, RT2x, RT3x, RT4x releje</t>
  </si>
  <si>
    <t>Grebenasta sklopka, 0-1/1P/20A, na vrata</t>
  </si>
  <si>
    <t>Instalacijski sklopnik 20A | 1 N/O</t>
  </si>
  <si>
    <t>Instalacijski sklopnik 20A | 1 N/O + 1 N/C | 24V AC</t>
  </si>
  <si>
    <t>Instalacijski sklopnik 20A | 1 N/O + 1 N/C | 230VAC</t>
  </si>
  <si>
    <t>Instalacijski sklopnik 25A | 4 N/O | 230VAC</t>
  </si>
  <si>
    <t>Serijski ormar, 1-vrata, IP55, 2000x600x400mm (VxŠxD)</t>
  </si>
  <si>
    <t>Serijski ormar, 1-vrata, IP55, 2000x800x400mm (VxŠxD)</t>
  </si>
  <si>
    <t>Podnožje prema širini ormara, 600x100mm (ŠxV)</t>
  </si>
  <si>
    <t>Pak</t>
  </si>
  <si>
    <t>Podnožje prema širini ormara, 800x100mm (ŠxV)</t>
  </si>
  <si>
    <t>Podnožje po dubini ormara, V=100mm, za ormar D=400mm</t>
  </si>
  <si>
    <t>Kutni element visine 100mm za podnožje ormara</t>
  </si>
  <si>
    <t>Bočne stranice (par) za ormare 2000x400mm (ŠxV), RAL7035</t>
  </si>
  <si>
    <t>Set za povezivanje ormara iznutra i izvana</t>
  </si>
  <si>
    <t>Razrada shema i rasporeda elementa za radioničku izradu ormara</t>
  </si>
  <si>
    <t>Sitni materijal za ožičenje - kanalice. Din šine, uvodnice, stezaljke …</t>
  </si>
  <si>
    <t>FID sklopka 80A/4P/300mA/AC, 10kA</t>
  </si>
  <si>
    <t>Rastavna sklopka za cilindrične osigurače 22x58mm, 3P/100A</t>
  </si>
  <si>
    <t>Cilindrični osigurač, 22x58, 80A, gG, 500V AC</t>
  </si>
  <si>
    <t>Cilindrični osigurač, 22x58, 50A, gG, 500V AC</t>
  </si>
  <si>
    <t>KZS, C/16A/30mA, 3P+N</t>
  </si>
  <si>
    <t>Sklopnik 3P |11kW (24A) [AC3] / 50A [AC1] | 230V AC</t>
  </si>
  <si>
    <t>Zaštitni prekidač, D karakteristika, 16A, 1-polni, 10kA</t>
  </si>
  <si>
    <t>Zaštitni prekidač, D karakteristika, 10A, 1-polni, 10kA</t>
  </si>
  <si>
    <t>Motorna zaštitna sklopka, 2-polna | 0.63 - 1.0A</t>
  </si>
  <si>
    <t>Pomoćni kontakt, 1 N/O + 1 N/C</t>
  </si>
  <si>
    <t>Grebenasta sklopka, 1-0-2/1P/20A, na vrata</t>
  </si>
  <si>
    <t>Nazidni okvir s vratima, min. dim. 1900x602x300mm (VxŠxD), IP54, širina brojila: 2, visinska jedinica: 39, sa stražnjom pločom</t>
  </si>
  <si>
    <t>Bočne stranice, dubine 150mm, visinska jedinica: 39</t>
  </si>
  <si>
    <t xml:space="preserve">Aluminijski montažni nosač </t>
  </si>
  <si>
    <t xml:space="preserve">Montažni kutnik, metalni (pak.=10 kom.) </t>
  </si>
  <si>
    <t>Prednja ploča, plastična, sa otvorom za uređaje, širina brojila: 2</t>
  </si>
  <si>
    <t>Prednja ploča, plastična, slijepa, širina brojila: 2</t>
  </si>
  <si>
    <t>Zasun, za plastične prednje ploče</t>
  </si>
  <si>
    <t>Ploča za zasun</t>
  </si>
  <si>
    <t>Postolje za nazidne ormare dubine 300mm, bočni dijelovi</t>
  </si>
  <si>
    <t>Podnožje, prednji dio, za razdjelnike širina brojila: 2</t>
  </si>
  <si>
    <t>Zidni nosači ormara</t>
  </si>
  <si>
    <t>Sitni materijal za ožićenje - kanalice. Din šine, uvodnice, stezaljke</t>
  </si>
  <si>
    <t>FID sklopka 63A/4P/300mA/AC, 10kA</t>
  </si>
  <si>
    <t>Cilindrični osigurač, 22x58, 32A, gG, 500V AC</t>
  </si>
  <si>
    <t>Nazidni okvir s vratima, min. dim. 1210x602x250mm (VxŠxD), IP54, širina brojila: 2, visinska jedinica: 24, sa stražnjom pločom</t>
  </si>
  <si>
    <t>Bočne stranice, dubine 150mm, visinska jedinica: 24</t>
  </si>
  <si>
    <t>Postolje za nazidne ormare dubine 250mm, bočni dijelovi</t>
  </si>
  <si>
    <t>Dobava, montaža i spajanje tipkala za isklop u nuždi, Jpr</t>
  </si>
  <si>
    <t>RAZVODNI ORMARI UKUPNO:</t>
  </si>
  <si>
    <t>RASVJETA</t>
  </si>
  <si>
    <t>U svaku stavku opreme potrebno je predvidjeti dobavu, montažu,  spajanje i funkcionalno ispitivanje. U cijenu uračunati sitni montažni materijal, te ostali potrebni pribor i odgovarajući atesti. Na svu opremu ponuđač mora dati jamstvo u roku od najmanje 2 godine. U slučaju dobave opreme drugih proizvođača, ona mora zadovoljavati tehničke karakteristike projektirane opreme. Kriterij za jednakovrijednost: tehničke karakteristike ponuđene svjetiljke, odn. opreme, moraju biti jednake ili bolje od onih predviđenih projektiranim proizvodom. Estetske karakteristike moraju odgovarati predviđenom proizvodu uz odstupanja po dimenzijama do +/- 5%. Prije narudžbe obavezno usuglasiti točan tip, boju i konačnu dispoziciju rasvjetnih tijela s nadzornim inženjerom, koji je dužan konzultirati glavnog projektanta (provjera tipa spuštenog stropa i dispozicije svjetiljki) i projektanta el. instalacija.</t>
  </si>
  <si>
    <t xml:space="preserve">Da bi alternativni proizvod bio potvrđen kao jednakovrijedan ili bolji proizvod od projektiranog, ponuđač opreme mora dostaviti:
</t>
  </si>
  <si>
    <t xml:space="preserve">Tehničku specifikaciju proizvoda, koja se sastoji od tehničkih listova, instalacijskih uputa, te originalne fotometrijske podatke i detalje formata CEN datoteke, sukladno normama HRN EN 13032-1 i HRN EN 13032-2, odn. elektronski zapis iste u formatu ldt ili ies, za elektronički prijenos podataka, izrađenu od strane ovlaštenog i certificiranog laboratorija, s jasno vidljivim kriterijima navedenim u troškovniku (dostavljena tehnička dokumentacija mora biti javno dostupna na stranici proizvođača)
</t>
  </si>
  <si>
    <t>Jednakovrijednost proizvoda dokazuje se tehničkim svojstvima specificiranim prema normama navedenim u prilozima Tehničkog propisa o građevnim proizvodima. Zamjena jednakovrijednog proizvoda moguća je samo prilikom nuđenja. Izmjene jednakovrijednog proizvoda nakon ugovaranja nisu moguće.</t>
  </si>
  <si>
    <t>Tehničke karakteristike:
- Ugradna stropna svjetiljka
- Simetrična direktna svjetlosna distribucija širine snopa 67°
- Reflektor izrađen od aluminija u istoj boji
- Ugradni prsten izrađen od polikarbonata u bijeloj boji
- LED sustav maksimalne snage 9.5W
- Temperatura boje 3000K
- Uzvrat boje minimalno CRI80
- Faktor blještanja maksimalno UGR16 
- DALI predspojna naprava
- Životni vijek izvora minimalno L80 B50 100.000 h
- Minimalni izlazni svjetlosni tok 1280lm
- Minimalna efikasnost LED modula 156.64 lm/W
- Minimalna efikasnost svjetiljke 134.73 lm/W
- Klasa zaštite II
- Dimenzije svjetiljke maksimalno: promjer 210mm, visina 102mm
- Maksimalna masa svjetiljke 0.62kg
- Stupanj mehaničke zaštite minimalno IP20
- Garancija 5 godina</t>
  </si>
  <si>
    <t>Tehničke karakteristike:
- Zidna nadgradna svjetiljka
- Direktno indirektna svjetlosna distribucija širine snopa 2x57°
- Ovalni rubovi kućišta izrađenog od aluminija u bijeloj boji
- LED sustav maksimalne snage 9.18W
- Temperatura boje 3000K
- Uzvrat boje minimalno CRI90
- DALI predspojna naprava
- Životni vijek izvora minimalno 75.000h - L80 - B10
- Minimalni izlazni svjetlosni tok 2x140lm
- Minimalni nominalni svjetlosni tok 570lm
- Dimenzije svjetiljke maksimalno: 190x92x39+24mm
- Stupanj mehaničke zaštite minimalno IP40IK08</t>
  </si>
  <si>
    <t>Tehničke karakteristike:
- Ugradna stropna svjetiljka
- Simetrična direktna svjetlosna distribucija širine snopa 50°
- Reflektor u bijeloj boji, konusni, uvučen
- Ugradni prsten u bijeloj boji
- LED sustav maksimalne snage 13.3W
- Temperatura boje 3000K
- Uzvrat boje minimalno CRI80
- Faktor blještanja maksimalno UGR16 
- Životni vijek izvora minimalno L80 B50 100.000 h
- Minimalni izlazni svjetlosni tok 970lm
- Minimalna efikasnost LED modula 99.88 lm/W
- Minimalna efikasnost svjetiljke 72.93 lm/W
- Klasa zaštite II
- Dimenzije svjetiljke maksimalno: promjer 100mm, visina 113mm
- Maksimalna masa svjetiljke 0.46kg
- Stupanj mehaničke zaštite minimalno IP44
- Garancija 5 godina</t>
  </si>
  <si>
    <t xml:space="preserve">Tehničke karakteristike:
- Zidna svjetiljka s direktnom (77%) i indirektnom (23%) svjetlosnom distribucijom
- Kućište izrađeno od anodiziranog ekstrudiranog aluminija, u prirodnoj boji
- Mogućnost horizontalne i vertikalne montaže
- Opalni difuzor izrađen od polikarbonata
- Klasa zaštite I
- Ugrađena LED predspojna naprava
- Maksimalna ukupna snaga LED sustava 9W
- Minimalni izlazni svjetlosni tok 1117lm
- Efikasnost svjetiljke minimalno 124 lm/W
- Temperatura boje 3000K
- Uzvrat boje minimalno CRI 80
- Mehanička zaštita minimalno IP44
- Životni vijek izvora minimalno 50000h L80/B10 (Tq 35°C)
- Dimenzije svjetiljke: 600x47x82mm
- Masa svjetiljke maksimalno 0.9kg
- ENEC certificirana svjetiljka
- 5 godina garancije
</t>
  </si>
  <si>
    <t xml:space="preserve">Tehničke karakteristike:
- Zidna svjetiljka s direktnom (77%) i indirektnom (23%) svjetlosnom distribucijom
- Kućište izrađeno od anodiziranog ekstrudiranog aluminija, u prirodnoj boji
- Mogućnost horizontalne i vertikalne montaže
- Opalni difuzor izrađen od polikarbonata
- Klasa zaštite I
- Ugrađena LED predspojna naprava
- Maksimalna ukupna snaga LED sustava 18W
- Minimalni izlazni svjetlosni tok 2234lm
- Efikasnost svjetiljke minimalno 124 lm/W
- Temperatura boje 3000K
- Uzvrat boje minimalno CRI 80
- Mehanička zaštita minimalno IP44
- Životni vijek izvora minimalno 50000h L80/B10 (Tq 35°C)
- Dimenzije svjetiljke: 1160x47x82mm
- Masa svjetiljke maksimalno 1.7kg
- ENEC certificirana svjetiljka
- 5 godina garancije
</t>
  </si>
  <si>
    <t>Tehničke karakteristike:
- Ugradna stropna svjetiljka
- Simetrična direktna svjetlosna distribucija širine snopa 67°
- Reflektor izrađen od aluminija u bijeloj boji
- Ugradni prsten izrađen od čeličnog lima u bijeloj boji
- LED sustav maksimalne snage 19.3W
- Temperatura boje 3000K
- Uzvrat boje minimalno CRI80
- Faktor blještanja maksimalno UGR19 
- DALI predspojna naprava
- Životni vijek izvora minimalno L80 B50 100.000 h
- Minimalni izlazni svjetlosni tok 2450lm
- Minimalna efikasnost LED modula 156.64 lm/W
- Minimalna efikasnost svjetiljke 129.94 lm/W
- Klasa zaštite II
- Dimenzije svjetiljke maksimalno: promjer 265mm, visina 102mm
- Maksimalna masa svjetiljke 1.21kg
- Stupanj mehaničke zaštite minimalno IP20
- Garancija 5 godina</t>
  </si>
  <si>
    <t xml:space="preserve">Tehničke karakteristike:
- Nadgradna stropna svjetiljka
- Kućište svjetiljke izrađeno od aluminija bijele boje
- Direktna simetrična distribucija svjetlosti širine snopa 55 stupnjeva
- Difuzor od čistog akrilnog stakla
- Zrcalni reflektor izrađen od plastike
- LED predspojna naprava ugrađena
- Klasa zaštite I
- LED izvor svjetlosti snage sustava 15W
- Faktor blještanja maksimalno UGR 25
- Minimalni izlazni svjetlosni tok 1200lm
- Efikasnost svjetiljke minimalno 80lm/W
- Vijek trajanja - minimalno L80 B50 100.000 h
- Temperatura boje 3000K
- Uzvrat boje minimalno CRI80
- Dimenzije svjetiljke maksimalno: promjer 90mm, visina 100mm
- Masa svjetiljke maksimalno 0.54kg
- Mehanička zaštita minimalno IP54
- Garancija 5 godina
</t>
  </si>
  <si>
    <t>Tehničke karakteristike:
- Ugradna svjetiljka s direktnom svjetlosnom distribucijom
- Kućište od čeličnog lima, premazano prahom, pravokutnog poprečnog presjeka, sa robusnim čeličnim stranama, stražnji dio kućišta s integriranim maticama za pričvršćivanje
- Boja kućišta bijela RAL 9016
- Optika mikroprizmatična od polikarbonata
- Životni vijek izvora minimalno 100000h L80/B10 (Tq 35°C)
- LED sustav maksimalne snage 34W
- Minimalni nominalni svjetlosni tok 5228lm
- Minimalna efikasnost svjetiljke 157 lm/W
- Snop svjetlosti 80°(C0)/85° (C90)
- Elektronička LED predspojna naprava ugrađena
- Faktor blještanja maksimalno UGR 18.7
- Temperatura boje 4000K
- Klasa zaštite I
- Uzvrat boje minimalno CRI≥80
- Dimenzije svjetiljke maksimalno: 1563mm x 210mm x 70mm
- Maksimalna masa svjetiljke 6.7kg
- Stupanj mehaničke zaštite minimalno IP40
- Zaštita od mehaničkih utjecaja minimalno IK10
- Temperaturno radno područje  -20°C do 35°C
- Certifikati: ENEC, Zaštita od udarca loptom
- Garancija 5 godina</t>
  </si>
  <si>
    <t xml:space="preserve">Tehničke karakteristike:
- Nadgradna stropna svjetiljka s direktnom svjetlosnom distribucijom
- Kućište izrađeno od polikarbonata u boji RAL9003
- Prolazno ožičenje
- Opalni difuzor izrađen od polikarbonata
- Integrirana LED predspojna multi-lumen, podesivo od 20-35W
- Životni vijek izvora minimalno 100000h L80/B50 (Tq 25°C)
- Minimalni izlazni svjetlosni tok 3100-5200lm podesivo
- Dimenzije maksimalno: 1200x80x73mm
- Masa svjetiljke: 1.3kg
- Minimalna svjetlosna efikasnost 151-156 lm/W
- Klasa zaštite I
- Temperatura boje podesiva 4000K
- Uzvrat boje monimalno CRI80
- Konzistentnost boje maksimalno MacAdam SDCM 3 
- Prolazno ožičenje
- Stupanj mehaničke zaštite minimalno IP65
- Zaštita od mehaničkih utjecaja minimalno IK08
- HACCP certificirana svjetiljka
</t>
  </si>
  <si>
    <t xml:space="preserve">Tehničke karakteristike:
- Nadgradna stropna svjetiljka
- Direktna asimetrična svjetlosna distribucija 
- Kućište od čeličnog lima i lijevanog aluminija
- Bijela boja kućišta RAL9016
- Integrirana LED predspojna naprava 
- Životni vijek izvora minimalno 50000h L80/B10
- LED sustav maksimalne snage 36W
- Minimalni izlazni svjetlosni tok 4659lm
- Dimenzije maksimalno: 1411x51x81mm
- Masa svjetiljke maksimalno 3.5kg
- Klasa zaštite I
- Minimalna svjetlosna efikasnost 129 lm/W
- Temperatura boje 4000K
- Uzvrat boje minimalno CRI≥80
- Konzistentnost boje maksimalno MacAdam SDCM 3 
- Stupanj mehaničke zaštite minimalno IP20IK02
</t>
  </si>
  <si>
    <t xml:space="preserve">Tehničke karakteristike:
- Stropna ovjesna svjetiljka
- Direktno indirektna simetrična svjetlosna distribucija 
- Direktna distribucija minimalno 67%, indirektna 33%
- Kućište od čeličnog lima, kompaktnog pravokutnog presjeka
- Električni priključak preko integriranog bijelog priključnog kabela 3x0,75 mm², duljine 1900 mm, ogoljeni krajevi kabela
- Kompletan set ovjesa podesiv po visini
- Bijela boja kućišta RAL9016
- Integrirana LED predspojna naprava multi-lumen, standardno podešena na 37W
- Mogućnost podešavanja snage svjetiljke od 21-37W
- Životni vijek izvora minimalno 70000h L80/B10
- LED sustav maksimalne snage 32W
- Minimalni izlazni svjetlosni tok 4500lm
- Dimenzije maksimalno: 1248mm x 239mm x 55mm
- Masa svjetiljke maksimalno 7kg
- Minimalna svjetlosna efikasnost podesiva 140-149lm/W
- Faktor blještanja maksimalno UGR16.1 / 16.4
- Klasa zaštite I
- Temperatura boje 4000K
- Snop svjetlosti širine kuta 90°(C0)/95° (C90)
- Uzvrat boje CRI≥80
- Konzistentnost boje MacAdam SDCM 3 
- Stupanj mehaničke zaštite minimalno IP20
- Zaštita od mehaničkih utjecaja minimalno IK03
- ENEC certifikat
- Garancija 5 godina
</t>
  </si>
  <si>
    <t xml:space="preserve">Tehničke karakteristike:
- Nazidna svjetiljka za vanjsku montažu
- Asimetrična direktna svjetlosna distribucija
- Kućište od lijevanog aluminija, u završnoj antracit sivoj boji
- Difuzor od mikroprizmatičnog kaljenog stakla
- U kompletu s LED predspojnom napravom
- Silikonska brtva
- Protupanični ugrađeni modul, autonomija 3h, baterija 3,6V 2Ah
- Dimenzije svjetiljke: 300x100x102 mm
- Životni vijek izvora minimalno 50.000 sati L80/B10 
- LED sustav maksimalne snage 20W
- Minimalni izlazni svjetlosni tok 1557 lm
- Minimalna svjetlosna efikasnot 78 lm/W
- Temperatura boje 3000K
- Uzvrat boje minimalno CRI80
- Stupanj mehaničke zaštite minimalno IP65
- Zaštita od mehaničkih utjecaja minimalno IK07
</t>
  </si>
  <si>
    <t>Tehničke karakteristike:
- Nazidna protupanična svjetiljka s jednostrano printanim piktogramom "DOLJE"
- Kućište izrađeno od bijelog polikarbonata
- Svjetiljka s ugrađenom baterijom
- Snaga LED izvora minimalno 2W
- Vrijeme punjenja maksimalno 12h
- Tip baterije  LiFePO 4 6,4V
- Autonomija svjetiljke 3h
- Svjetiljka u trajnom spoju
- Vidljivost 30m
- Stupanj mehaničke zaštite minimalno IP40IK08
- Svjetiljka sa fukcijom autotesta
- Dozvoljena ambijentalna temperatura od 0 do +40 °C
- Ugrađen LED indikator prisutnosti mrežnog napajanja
- Ugrađen LED indikator faze punjenja
- Dimenzije svjetiljke 337x187x57 mm
- ENEC certifikat</t>
  </si>
  <si>
    <t>Tehničke karakteristike:
- Stropna ugradna protupanična svjetiljka s jednostrano printanim piktogramom "DOLJE"
- Kućište izrađeno od bijelog polikarbonata
- Svjetiljka s ugrađenom baterijom
- Snaga LED izvora minimalno 2W
- Vrijeme punjenja maksimalno 12h
- Tip baterije  LiFePO 4 6,4V
- Autonomija svjetiljke 3h
- Svjetiljka u trajnom spoju
- Vidljivost 30m
- Stupanj mehaničke zaštite minimalno IP40IK08
- Svjetiljka sa fukcijom autotesta
- Dozvoljena ambijentalna temperatura od 0 do +40 °C
- Ugrađen LED indikator prisutnosti mrežnog napajanja
- Ugrađen LED indikator faze punjenja
- Dimenzije svjetiljke 337x187x100 mm
- ENEC certifikat</t>
  </si>
  <si>
    <t xml:space="preserve">Tehničke karakteristike:
- Ugradna stropna sigurnosna svjetiljka s optikom za evakuacijske površine
- Kućište izrađeno od bijelog polikarbonata
- Svjetiljka s ugrađenom baterijom
- Snaga LED izvora maksimalno 1W
- Minimalni izlazni svjetlosni tok 200lm
- Vrijeme punjenja maksimalno 12h
- Tip baterije LiFePO4 3,2V
- Autonomija svjetiljke 3h
- Svjetiljka u pripravnom spoju
- Stupanj mehaničke zaštite minimalno IP20IK07
- Dozvoljena ambijentalna temperatura od 0 do +40 °C
- Ugrađen LED indikator prisutnosti mrežnog napajanja
- Ugrađen LED indikator faze punjenja
- Dimenzije svjetiljke maksimalno promjer 65 x 25 mm
</t>
  </si>
  <si>
    <t xml:space="preserve">Tehničke karakteristike:
- Nadgradna stropna sigurnosna svjetiljka s optikom za evakuacijske puteve
- Kućište izrađeno od bijelog polikarbonata
- Svjetiljka s ugrađenom baterijom
- Snaga LED izvora maksimalno 1W
- Minimalni izlazni svjetlosni tok 200lm
- Vrijeme punjenja maksimalno 12h
- Tip baterije LifePO4 6,4V
- Autonomija svjetiljke 3h 
- Svjetiljka u pripravnom spoju
- Stupanj mehaničke zaštite minimalno IP20IK06
- Dozvoljena ambijentalna temperatura od 0 do +40 °C
- S autotest funkcijom
- Ugrađen LED indikator prisutnosti mrežnog napajanja
- Ugrađen LED indikator faze punjenja
- Dimenzije svjetiljke: promjer 126mm, visina 30 mm
</t>
  </si>
  <si>
    <t>Dobava, montaža i spajanje uređaja za centraliziranu kontrolu DALI rasvjetnih linija. Omogućuje upravljanje do 64 DALI uređaja, podržava regulaciju intenziteta svjetla te automatizaciju putem integriranog vremenskog rasporeda. Prilagođen je za male i srednje sustave rasvjetne automatizacije. Podržava standardne DALI protokole te je osiguran za stabilan rad i precizne scenarije upravljanja. Isporučuje se sa svim potrebnim priključnim materijalom i priborom.</t>
  </si>
  <si>
    <t>Tehničke karakteristike:
- uređaj za centraliziranu kontrolu DALI rasvjetnih linija
- regulacija intenziteta svjetla te automatizacija putem integriranog vremenskog rasporeda
- Prilagođen za male i srednje sustave rasvjetne automatizacije
- Podržava standardne DALI protokole 
- Kapacitet: do 64 DALI adrese (1 pun univerzum)
- Napajanje: standardno DALI napajanje (bez vanjskog DC adaptera)
- Okolišne karakteristike: radna temperatura i vlažnost prema industrijskim normama
- Montaža na DIN šinu</t>
  </si>
  <si>
    <t>Dobava, montaža i spajanje ugradnog DALI senzora za detekciju prisutnosti u rasponu od 360 stupnjeva, vanjskog promjera 72 mm i ugradbenog promjera 63 mm. Ukupna dubina, uključujući ugradbeni dio, iznosi 41 mm. Kućište senzora izrađeno je od polikarbonata. Senzor kombinira detekciju pokreta, na temelju koje može podešavati razinu osvjetljenja (PIR), infracrvene zrake koje omogućuju podešavanje razine osvjetljenja putem daljinskog upravljača (IR) i detekciju razine osvjetljenja okolnog prostora (PE). Domet detekcije iznosi od 5 do 5.000 lx. Senzor također ima mogućnost dodavanja prstenaste maske koja pokriva dio područja koje senzor pokriva i time sprječava smetnje u obliku detekcije pokreta u susjednim hodnicima ili prolazima. Domet detekcije (radijus) iznosi 5 m, LED indikator aktivacije. Infracrveni prijemnik za daljinsko upravljanje s dometom od 5,5 m i LED indikatorom aktivacije. Raspon radne temperature senzora je od 0 do +45 °C, a raspon relativne vlažnosti zraka od 0 do 90 % bez kondenzacije. Masa senzora iznosi 0,105 kg. Boja senzora bijela RAL9010. Stupanj zaštite IP20.</t>
  </si>
  <si>
    <t xml:space="preserve">Tehničke karakteristike:
- Ugradni DALI senzor za detekciju prisutnosti u rasponu od 360 stupnjeva
- Dimenzije maksimalno vanjski promjer 72 mm, te ugradbeni promjer 63 mm
-  Ukupna dubina, uključujući ugradbeni dio, maksimalno 41 mm
- Kućište senzora izrađeno je od polikarbonata
- Senzor s mogućnošću kombiniranja detekcije pokreta prema kojoj može podešavati razinu osvjetljenja, infracrvene zrake, što omogućuje podešavanje razine osvjetljenja putem daljinskog upravljača i detekciju razine osvjetljenja okolnog prostora
- Domet detekcije od 5-5.000lx
- Senzor s mogućnošću dodavanja prstenaste maske koja pokriva dio polja koje pokriva senzor i time sprečava smetnje u obliku detekcije pokreta u susjednim prostorima
- Detektor pokreta s minimalnim dometom detekcije (radijus) od 5 m i LED indikatorom aktivacije
- Infracrveni prijemnik za daljinsko upravljanje s dometom od minimalno 5,5 m i LED indikator aktivacije
- Raspon radne temperature senzora minimalno od 0 do +45 stupnjeva Celzija, a raspon vlažnosti zraka minimalno od 0 do 90% bez kondenzacije
- Masa senzora maksimalno 0,105 kg
- Boja senzora je bijela RAL9010
- Stupanj zaštite minimalno IP20
</t>
  </si>
  <si>
    <t>Certifikati: CE, RoHS</t>
  </si>
  <si>
    <t>Dobava, montaža i spajanje DALI-2 kontrolera s tri DALI izlaza za spajanje cijelog DALI univerzuma — 192 adrese i komunikaciju s DALI korisničkim sučeljima. Uređaj je kompatibilan s rasvjetom baziranom na DALI i DALI-2 protokolu, DALI senzorima i sučeljima, DALI-207 i DALI-209 (tunable white svjetiljka). Uređaj se može montirati na DIN šinu i dizajniran je za ugradnju u razvodni ormar koji distribuira napajanje kontroliranom krugu rasvjete. Svaki DALI priključak zaštićen je osiguračem koji se sam resetira, sprječavajući oštećenje uređaja ako su izloženi duljoj prekomjernoj struji iz više DALI napajanja ili slučajnom kratkom spoju s mrežom. Nakon što se kvar ispravi, uređaj nastavlja s normalnim radom.
Ulazni napon uređaja je 100–277 VAC, 50/60 Hz, jednofazno, 0,25 A. Ulaz: 1 x serijski port, 1 x AUX programabilni suhi kontakt. Izlazni kapacitet: tri DALI izlaza (DA-, DA+), samo za DALI-2 i DALI registrirane upravljačke programe, za upravljanje univerzumom od 192 adrese. Dimenzije uređaja: 95 mm x 216 mm x 64 mm, a masa uređaja 0,60 kg. Kućište uređaja izrađeno je od polikarbonata. LED indikatori: jedan za dijagnostiku, tri za status DALI sabirnice i jedan za Ethernet.
Raspon radne temperature uređaja je od -25 do +50 stupnjeva Celzija, a raspon vlažnosti od 0 do 90 % bez kondenzacije.
Certifikati: CE, RoHS.</t>
  </si>
  <si>
    <t xml:space="preserve">Tehničke karakteristike:
- DALI-2 kontroler s tri DALI izlaza za spajanje cijelog DALI univerzuma = 192 adrese i komunikaciju s DALI korisničkim sučeljima
- Uređaj kompatibilan s rasvjetom baziranom na DALI i DALI2  protokolu, DALI senzorima i sučeljima, DALI 207 i 209  (tunable white svjetiljka)
- Mogućnost montiranja na DIN šinu i za ugradnju u razvodni ormar koji distribuira napajanje kontroliranom krugu rasvjete
- Svaki DALI priključak zaštićen osiguračem koji se sam resetira, sprječavajući oštećenje uređaja ako su izloženi duljoj prekomjernoj struji iz više DALI napajanja ili slučajnom kratkom spoju s mrežom
- Nakon što se kvar ispravi, uređaj nastavlja s normalnim radom
- Ulazni napon uređaja 100-277 VAC 50/60 Hz jednofazno @ 0,25 A
- Ulaz: 1 x serijski port, 1 x AUX programabilni suhi kontakt
- Izlazni kapacitet: tri DALI izlaza (DA-, DA+), samo za DALI-2 i DALI registrirane upravljačke programe, za upravljanje univerzumom od 192 adrese
- Dimenzije uređaja maksimalno 95 mm x 216 mm x 64 mm, a masa uređaja maksimalno 0,60 kg
- Kućište uređaja izrađeno od polikarbonata
- LED indikatori za dijagnostiku, status DALI sabirnice i za Ethernet)
-Raspon radne temperature uređaja minimalno od -25 do +50 stupnjeva Celzija, a raspon vlažnosti minimalno od 0 do 90% bez kondenzacije 
</t>
  </si>
  <si>
    <t xml:space="preserve">Dobava, montaža i spajanje četverostrukog DALI  programabilnog sučelja, dizajniranog za izravno povezivanje mehaničkih i elektroničkih tipkala ili prekidača s DALI kontrolerom na DALI sabirnici. Napaja se izravno putem DALI mreže, eliminira potrebu za dodatnim mrežnim ožičenjem. Svaki pojedinačni ulaz je u potpunosti softverski programabilan putem DALI mreže, što omogućuje izvršavanje više funkcija, kao što su odabrani scenariji rasvjete, dodjeljivanje prostorija ili uključivanje/isključivanje rasvjete. Kompaktna veličina, ulazi se nalaze na visećem vodiču, što uređaj čini jednostavnim za instalaciju. Jednostavno sučelje suhokontaktnog sučelja. Može se koristiti za jednostavnu integraciju u sustave trećih strana tako da se rasvjeta može koordinirati s drugim uslugama unutar projekta. Dimenzije uređaja su 18 mm x 34 mm x 53 mm, a masa do 50 g. Duljina zaštitnog kabela 165 mm (s priključnim tuljcima). Temperaturni raspon uređaja je od 0 do +40 stupnjeva Celzija, a vlažnost zraka od 0 do 90 posto bez kondenzacije. Certifikati: CE, RoHS
</t>
  </si>
  <si>
    <t xml:space="preserve">Tehničke karakteristike:
- Četverostruko DALI  programabilno sučelje, dizajnirano za izravno povezivanje mehaničkih i elektroničkih tipkala ili prekidača s DALI kontrolerom na DALI sabirnici
- Napajanje izravno putem DALI mreže, bez potrebe za dodatnim mrežnim ožičenjem
- Svaki pojedinačni ulaz u potpunosti softverski programabilan putem DALI mreže, što omogućuje izvršavanje više funkcija, kao što su odabrani scenariji rasvjete, dodjeljivanje prostorija ili uključivanje/isključivanje rasvjete
- Mogućnost jednostavne integracije u sustave trećih strana tako da se rasvjeta može koordinirati s drugim uslugama unutar projekta
-  Dimenzije uređaja maksimalno 18 mm x 34 mm x 53 mm,  masa maksimalno 50 g
-  Duljina zaštitnog kabela minimalno 165 mm (s priključnim tuljcima)
- Temperaturni raspon uređaja minimalno od 0 do +40 stupnjeva Celzija, a vlažnost zraka minimalno od 0 do 90 posto bez kondenzacije
</t>
  </si>
  <si>
    <t xml:space="preserve">Programiranje, adresiranje i puštanje u pogon upravljačkog sustava rasvjete, podešavanje sustava rasvjete do pune funkcionalnosti; izrada tlocrta zgrade i plana adresiranja;  Izrada dokumentacije izvedenog stanja u tri primjerka, te izdavanje protokola o puštanju u rad; Programiranje režima rada, optimizacija po želji korisnika, do maksimalno 2 izlaza integratora sustava, nakon inicijalnog programiranog puštanja u rad, prema prethodno definiranim zahtjevima investitora, odnosno korisnika sustava. </t>
  </si>
  <si>
    <t xml:space="preserve">Dobava, montaža i spajanje nadgradnog IC senzora pokreta izrađenog od plastike u bijeloj boji. Ručno podešavanje praga razine svjetlosti i vremenskog kašnjenja pomoću potenciometra. Snaga do 1KW, radijus pokrivanja 8m, kut pokrivanja 360°. Stupanj zaštite IP55.
</t>
  </si>
  <si>
    <t>senzor IC, nadgradni, bijeli, 360° rad. 8m, 1kW, IP55</t>
  </si>
  <si>
    <t>Napomena: kabeli za napajanje rasvjete su specificirani u točki V</t>
  </si>
  <si>
    <t>RASVJETA UKUPNO</t>
  </si>
  <si>
    <t>INSTALACIJSKI MATERIJAL I TEHNOLOŠKI PRIKLJUČCI</t>
  </si>
  <si>
    <t>Dobava, montaža i spajanje elektroinstalacijskog materijala utičnica, prekidača, tipkala i sl., uključivo plast. kutije za svaku stavku, bijele boje:</t>
  </si>
  <si>
    <t>1-polna sklopka, kompletna, 10A, (p/ž)</t>
  </si>
  <si>
    <t>Serijska sklopka, kompletna, 10A, (p/ž)</t>
  </si>
  <si>
    <t>Izmjenična sklopka, kompletna, 10A, (p/ž)</t>
  </si>
  <si>
    <t>3x 1-polna sklopka, umetak i tipkalo, 10A, (p/ž)</t>
  </si>
  <si>
    <t>Okvir 3-struki</t>
  </si>
  <si>
    <t>4x tipkalo, umetak i tipkalo, 10A, (p/ž)</t>
  </si>
  <si>
    <t>Okvir 4-struki</t>
  </si>
  <si>
    <t xml:space="preserve">Tipkalo, kompletno, 10A, (p/ž) </t>
  </si>
  <si>
    <t>Sklopka jednopolna, IP54, na oprugu, nadžbukna</t>
  </si>
  <si>
    <t>Tipkalo, kompletno, 10A, nadžbukno, IP54</t>
  </si>
  <si>
    <t>Tipkalo za žaluzine/rolete, 1-0-2, 16A/250V, kompletno, bijelo, (p/ž)</t>
  </si>
  <si>
    <t>Relej za upravljanje roletama, uzidna montaža, 230V AC</t>
  </si>
  <si>
    <t>Šuko utičnica, komplet, 16A, 230V, p/ž</t>
  </si>
  <si>
    <t>Utičnica šuko, dvostruka, 16A, 250V, p/ž</t>
  </si>
  <si>
    <t>3x utičnica, 16A, umetak, p/ž</t>
  </si>
  <si>
    <t xml:space="preserve">3-struki okvir, bijeli </t>
  </si>
  <si>
    <t>Utičnica šuko sa poklopcem,16A, 250V, p/ž</t>
  </si>
  <si>
    <t xml:space="preserve">Okvir 1-struki, bijeli </t>
  </si>
  <si>
    <t xml:space="preserve">Okvir 2-struki, bijeli </t>
  </si>
  <si>
    <t>Utičnica šuko, IP54, n/ž</t>
  </si>
  <si>
    <t>Utičnica šuko dvostruka, IP54, n/ž</t>
  </si>
  <si>
    <t>Utičnica šuko, IP54, sa ključem, na oprugu, nadžbukna</t>
  </si>
  <si>
    <t>Grebenasta sklopka u kućištu, 0-1/1P/16A, IP40</t>
  </si>
  <si>
    <t>Grebenasta sklopka u kućištu, 0-1/3P/25A, IP66, s priključnom kutijom</t>
  </si>
  <si>
    <t>Grebenasta sklopka u kućištu, 0-1/3P/32A, IP66, s priključnom kutijom</t>
  </si>
  <si>
    <t>Industrijska utičnica, 5P, 16A, 400V, IP44, nadgradna</t>
  </si>
  <si>
    <t>Industrijska utičnica, 5P, 32A, 400V, IP44, nadgradna</t>
  </si>
  <si>
    <t>Industrijski utikač, 5P, 16A, 400V, IP44, vijčane stez.</t>
  </si>
  <si>
    <t>Industrijski utikač, 5P, 32A, 400V, IP44, vijčane stez.</t>
  </si>
  <si>
    <t>Dobava, montaža i spajanje priključnica koja se sastoji od 2x(3x230V)+2xRJ45cat6a , u nacrtima oznaka ''P4'', koje se montiraju na parapetni kanal.</t>
  </si>
  <si>
    <t>Dobava materijala i izrada premoštenja prirubnica na cijevnom razvodu, armaturama i pumpama i vratima, upotrebom voda P10 mm2 i kab. stopica, a spajanje pod vijak.</t>
  </si>
  <si>
    <t>Dobava i ugradnja N/Ž kutija IP30,75x75x25mm bijela</t>
  </si>
  <si>
    <t>Dobava i ugradnja razvodne kutije, podžbukna, Ø70, 35mm, M20, s poklopcem</t>
  </si>
  <si>
    <t>Izvedba izvoda za napajanje uređaja i dovođenje u funkciju istih:</t>
  </si>
  <si>
    <t>izvod jednofazni, 230V</t>
  </si>
  <si>
    <t xml:space="preserve">izvod trofazni, 400V </t>
  </si>
  <si>
    <t>Sitni spojni materijal i pribor, vijci, tiple, gips, razvodne kutije, prolazne kutije, obujmice i elastične spojnice sa stopicom za izjednačenje potencijala i ostalo, potrebno za dovođenje elektroinstalacija u potpuno funkcionalno stanje.</t>
  </si>
  <si>
    <t>Dobava materijala i izvedba instalacije izjednačenja potencijala u sanitarijama, uključivo vodič P/FY 1x10 mm2 od RO do kutije izj.pot., kutija sa sabirnicom, obujmice i vodiči P/FY 1x4 mm2 do metalnih masa.</t>
  </si>
  <si>
    <t>INSTALACIJSKI MATERIJAL I TEHNOLOŠKI PRIKLJUČCI UKUPNO:</t>
  </si>
  <si>
    <t>KABELI I KABELSKE POLICE</t>
  </si>
  <si>
    <t>Dobava, polaganje  i spajanje kabela u kabelske kanalice ili odgovarajuće zaštitne cijevi uključivo plastične kutije, ovjesni pribor i sl.</t>
  </si>
  <si>
    <t>NAYY-0 4x150mm2 SM +1,5RE 0,6/1 (1,2)</t>
  </si>
  <si>
    <t>NYY 4x95mm2+1x50mm2</t>
  </si>
  <si>
    <t>NYY 5x35mm2</t>
  </si>
  <si>
    <t>NYY 5x25mm2</t>
  </si>
  <si>
    <t>NYY 5x16mm2</t>
  </si>
  <si>
    <t>NYY 5x10mm2</t>
  </si>
  <si>
    <t>NYY 5x6mm2</t>
  </si>
  <si>
    <t>NYY 5x4mm2</t>
  </si>
  <si>
    <t>NYY 3x4mm2</t>
  </si>
  <si>
    <t>NYY 5x2,5mm2</t>
  </si>
  <si>
    <t>NYY 4x2,5mm2</t>
  </si>
  <si>
    <t>NYY 3x2,5mm2</t>
  </si>
  <si>
    <t>NYY 3x1,5mm2</t>
  </si>
  <si>
    <t>NYY 5x1,5mm2</t>
  </si>
  <si>
    <t>NYY 4x1,5mm2</t>
  </si>
  <si>
    <t>NYY 2x1,5mm2</t>
  </si>
  <si>
    <t>PP/J 2x1,0mm2</t>
  </si>
  <si>
    <t>PP/J 3x1,5mm2</t>
  </si>
  <si>
    <t>NHXH FE180/E90 5x6mm2</t>
  </si>
  <si>
    <t>NHXH FE180/E90 3x1,5mm2</t>
  </si>
  <si>
    <t>NHXH FE180/E90 3x2,5mm2</t>
  </si>
  <si>
    <t>LiYCY 2x0,5mm2</t>
  </si>
  <si>
    <t>LiYCY 2x0,75mm2</t>
  </si>
  <si>
    <t>LiYCY 7x0,75mm2</t>
  </si>
  <si>
    <t>LiYCY 2x1,5mm2</t>
  </si>
  <si>
    <t>LiYCY 4x1mm2</t>
  </si>
  <si>
    <t>LiYCY-TP 2x2x0,75mm2</t>
  </si>
  <si>
    <t>AF 6x0,22 mm2</t>
  </si>
  <si>
    <t>AF 12x0,22 mm2</t>
  </si>
  <si>
    <t>J-Y(St)Y 2x2x0,8mm2</t>
  </si>
  <si>
    <t>J-Y(St)Y 4x2x0,8mm2</t>
  </si>
  <si>
    <t>JB-Y(St)Y 2x2x0,8mm2</t>
  </si>
  <si>
    <t>JB-Y(St)Y 4x2x0,8mm2</t>
  </si>
  <si>
    <t>J-H(St)H 4x2x0,8mm2</t>
  </si>
  <si>
    <t>JE-H(St)H E30-E90 4x2x0,8mm2</t>
  </si>
  <si>
    <t>Cat. 6a F/FTP</t>
  </si>
  <si>
    <t>P/F 4mm2</t>
  </si>
  <si>
    <t>H07V-K 10 mm2</t>
  </si>
  <si>
    <t>P35 mm2</t>
  </si>
  <si>
    <t>P10 mm2</t>
  </si>
  <si>
    <t>P6 mm2</t>
  </si>
  <si>
    <t>Dobava i polaganje zaštitnih cijevi:</t>
  </si>
  <si>
    <t>Cs13</t>
  </si>
  <si>
    <t>Cs16</t>
  </si>
  <si>
    <t>Cs20</t>
  </si>
  <si>
    <t>Cs25</t>
  </si>
  <si>
    <t>Cs32</t>
  </si>
  <si>
    <t>Cs40</t>
  </si>
  <si>
    <t>Cs50</t>
  </si>
  <si>
    <t>Dobava i polaganje PNT cijevi</t>
  </si>
  <si>
    <t>PNT23</t>
  </si>
  <si>
    <t>PNT32</t>
  </si>
  <si>
    <t>Dobava i montaža PVC kanala:</t>
  </si>
  <si>
    <t xml:space="preserve"> - PVC plastična kabelska kanalica S=250-300 mm2 (15x17 mm), uključivo tiple i vijke.</t>
  </si>
  <si>
    <t xml:space="preserve"> - PVC plastična kabelska kanalica S=350-500 mm2 (30x15 mm), uključivo tiple i vijke.</t>
  </si>
  <si>
    <t xml:space="preserve"> - PVC plastična kabelska kanalica S=500-1.000 mm2 (40x20 mm), uključivo tiple i vijke.</t>
  </si>
  <si>
    <t xml:space="preserve"> - PVC plastična kabelska kanalica S=5.000-7.000 mm2 (100x60 mm), uključivo tiple i vijke.</t>
  </si>
  <si>
    <t xml:space="preserve"> - Parapetni kanal POK 110x65 (ili odgovarajućeg presjeka), sa pregradom i poklopcem kanala, komplet sa spojnim i montažnim materijalom</t>
  </si>
  <si>
    <t xml:space="preserve"> - Završni element PVC parapetnog kanala 110x65.</t>
  </si>
  <si>
    <t>Dobava, montaža i spajanje kabelskih polica za polaganje kabela, komplet sa svim spojnim i montažnim materijalom te poklopac kanala:</t>
  </si>
  <si>
    <t>PK400</t>
  </si>
  <si>
    <t>PK200</t>
  </si>
  <si>
    <t>PK100</t>
  </si>
  <si>
    <t>PK50</t>
  </si>
  <si>
    <t>Izvedba spoja voda H07V-K 10 mm2/PK/Cs25 za uzemljenje svih komunikacijskih ormara</t>
  </si>
  <si>
    <t xml:space="preserve">Dobava i montaža mase za brtvljenje prodora veličine 0,25 m2 na granici protupožarnih sektora:
Karakteristike za jednakovrijednost:
Certifikat u skladu sa: EN 1366-3 (protupožarne pregrade) - EN 13501-2 / klasifikacijska izvješća ÖNORM B 3807 ili jednakovrijedna
</t>
  </si>
  <si>
    <t>KABELI UKUPNO:</t>
  </si>
  <si>
    <t>INSTALACIJA SLABE STRUJE</t>
  </si>
  <si>
    <t>INSTALACIJA STRUKTURNOG KABLIRANJA</t>
  </si>
  <si>
    <t>Dobava, ugradnja i spajanje p/ž priključnog telekomunikacijskog ormarića, opremljen je sa dvije optičke kasete za spajanje ukupno 2×24 optička vlakana sa spajanjem na DTK i ostalom opremom za prihvat instalacijski optičkih kablova, izrađen od aluminijskog ili čeličnog lima 1mm, sa zaštitom od korozije RAL 9002, poliester, min. dimenzije ormara su 197,0 mm x 354,0 mm x 50,0 mm (Š x V x D), IP 54.</t>
  </si>
  <si>
    <t>Dobava, postava i spajanje komunikacijskog ormara za ugradnju telekomunikacijske i informatičke opreme, oznake "+KO-1", 
samostojeći komunikacijski ormar sa vratima i bravicom, s ventilacijskim prorezima i otvorima za ulaz kabela, s odvojivim bočnim stranicama i otvorima za ugradnju ventilatora u podu i stropu, 19” prednjim nosačima za montažu opreme prema normi IEC 60297, s priborom za uzemljenje svih metalnih dijelova na zajedničku sabirnicu, kompletom vijaka, podloški i matica, te sljedećom opremom:                                                                                                                           -Samostojeći komunikacijski ormar DS 800x1970x1000, 19", 42U, bez vrata  
-Vrata, metalna, perforirana za kom. ormare, 42U, Š=800 mm                                                                                                                  -Krovna vent. jedinica, 2xventilator 35W i termostat, 19", 4U
-19" vodilica kabela s 5 prstena 70x40 i otvorima,1U, RAL7035 - 6 kom
- 19" fiksna polica do maks. 80kg, d=750mm, 1U, RAL7035 - 1 kom</t>
  </si>
  <si>
    <t xml:space="preserve">Dobava i ugradnja  priključne letve 19” sa 7×230V/16A utičnica, prekidačem i prenaponskom zaštitom.
</t>
  </si>
  <si>
    <t xml:space="preserve">Dobava, isporuka i ugradnja UTP prespojnog panela za 24 priključna RJ-45 konektora, prazan, sa stražnjim držačem kabela
</t>
  </si>
  <si>
    <t xml:space="preserve">Dobava, isporuka, ugradnja i spajanje utičnog modula RJ45 oklop., cat.6a 10GB, 4PPoE 100W SFA
</t>
  </si>
  <si>
    <t xml:space="preserve">Dobava i ugradnja svjetlovodnog prespojnog panela/ladica za 24 LC SM, sa splice kasetom
</t>
  </si>
  <si>
    <t>Dobava i ugradnja (spajanje varenjem) svjetlovodnog konektora LC SM ("pig-tail") duljine 2 m,  ili izrada završetka optičke niti "brušenjem i poliranjem", te označavanje.</t>
  </si>
  <si>
    <t>Dobava prespojnog kabela RJ45 STP cat.6a/10GB, LS0H, sivi, 2.0m</t>
  </si>
  <si>
    <t>Dobava, isporuka i spajanje bežičnog LAN kontroler za upravljanje WLAN pristupnim točkama</t>
  </si>
  <si>
    <t>Dobava, postava i spajanje komunikacijskog ormara za ugradnju telekomunikacijske i informatičke opreme, oznake "+KO-2", 
samostojeći komunikacijski ormar sa vratima i bravicom, s ventilacijskim prorezima i otvorima za ulaz kabela, s odvojivim bočnim stranicama i otvorima za ugradnju ventilatora u podu i stropu, 19” prednjim nosačima za montažu opreme prema normi IEC 60297, s priborom za uzemljenje svih metalnih dijelova na zajedničku sabirnicu, kompletom vijaka, podloški i matica, te sljedećom opremom:                                                                                                                           -Samostojeći komunikacijski ormar DS 800x1970x1000, 19", 42U, bez vrata  
-Vrata, metalna, perforirana za kom. ormare, 42U, Š=800 mm                                                                                                                       -Krovna vent. jedinica, 2xventilator 35W i termostat, 19", 4U
-19" vodilica kabela s 5 prstena 70x40 i otvorima,1U, RAL7035 - 6 kom
- 19" fiksna polica do maks. 80kg, d=750mm, 1U, RAL7035 - 1 kom</t>
  </si>
  <si>
    <t>Dobava, izrada otvora u zidu, ugradnja u zid, te spajanje p/ž komunikacijskog utičnog mjesta s 2×RJ45 konektora, sastavljenog od sljedećih elemenata:</t>
  </si>
  <si>
    <t>Priključnica prazna 80x80 za 2 modula (SFA/B), kosi izvod</t>
  </si>
  <si>
    <t>utični modul RJ45 oklop., cat.6a 10GB, 4PPoE 100W SFA</t>
  </si>
  <si>
    <t>instalacijska p/ž kutija fi60mm.</t>
  </si>
  <si>
    <t>Dobava, montaža i spajanje kompletnog n/ž komunikacijskog utičnog mjesta s priključnicama 2xRJ45, oklopljena, cat.6a, 10GB, 4PPoE (100W), 80x80mm, kosa, univerzalna centralna pločica, okvir za n/ž ugradnju, 80x40x80mm</t>
  </si>
  <si>
    <t>Dobava, montaža i spajanje bežične pr. točke WLAN 2,4GHz 802.11b/g/n, stropna, PoE, upravljanje kontrolerom, stropna ili zidna montaža</t>
  </si>
  <si>
    <t xml:space="preserve">Dobava, uvlačenje u instalacijske kanale, uvlačenje u plastične cijevi n/žb i p/žb, kabela tipa U/FTP kabel cat.6a, 4x2xAWG23/1, 500MHz, LS0H, Dca, plavi                                                                                                                                </t>
  </si>
  <si>
    <t>Dobava, uvlačenje u instalacijske kanale i plastične cijevi n/žb i p/žb optičkog kabela s 12 niti tipa A-DQ(ZN)B2Y-OS2-1X12-E9/125-(SM), u objektu</t>
  </si>
  <si>
    <t>Ispitivanje i izdavanje atesta o izvršenom mjerenju kvalitete instaliranih svjetlovodnih veza (izrada knjige mjernih rezultata, mjerenja OTDR-om za svaku nit i mjerenje prigušenja niti mjeračem optičke snage).</t>
  </si>
  <si>
    <t>nit</t>
  </si>
  <si>
    <t>Ispitivanje i izdavanje certifikata o izvršenom mjerenju kvalitete instaliranih UTP/F/FTP veza, cat 6a, na papiru i CD-u.</t>
  </si>
  <si>
    <t>INSTALACIJA STRUKTURNOG KABLIRANJA UKUPNO:</t>
  </si>
  <si>
    <t xml:space="preserve">ANTENSKA INSTALACIJA </t>
  </si>
  <si>
    <t>Dobava, postava i spajanje zidnog ormara za ugradnju opreme za SAT/TV razvod, zidni ormar min.dim. 600x800x200 oznake u projektu "ZAU-1", s prednjim vratima  i bravicom, s ventilacijskim prorezima i otvorima za ulaz kabela i perforiranom stražnjom pločom i priborom za uzemljenje svih metalnih dijelova na zajedničku sabirnicu, te sljedećom opremom:</t>
  </si>
  <si>
    <t>SAT ormarić čel., perf. ploča, zaključ.,600x800x200, RAL7035</t>
  </si>
  <si>
    <t>DVB-T pojačalo 5 u 1, 10 podesivih kanala</t>
  </si>
  <si>
    <t>SAT uzemljenje + prenaponska zaštita, 9xF-konektora, 9 x odvodnika prenapona</t>
  </si>
  <si>
    <t>SAT odvodnik prenapona, F-ženski/F-ženski</t>
  </si>
  <si>
    <t>SAT pojačalo 9 ulaza, 9 izlaza</t>
  </si>
  <si>
    <t>SAT kaskadna jedinica za 9 IN 8 OUT pasivna</t>
  </si>
  <si>
    <t>Koaksijalni F-konektor navojni, za kabele 6.6 - 6.8mm</t>
  </si>
  <si>
    <t>Dobava, postava i spajanje zidnog ormara za ugradnju opreme za SAT/TV razvod, zidni ormar min.dim. 600x800x200 oznake u projektu "ZAU-2", s prednjim vratima  i bravicom, s ventilacijskim prorezima i otvorima za ulaz kabela i perforiranom stražnjom pločom i priborom za uzemljenje svih metalnih dijelova na zajedničku sabirnicu, te sljedećom opremom:</t>
  </si>
  <si>
    <t>SAT kaskadna jedinica za 9 IN 6 OUT pasivna</t>
  </si>
  <si>
    <t>Dobava, montaža i spajanje DVB-T / UHF antena na stup na krovu ili zidni nosač, zaštita od oksidacije, za vanjsku montažu, F-konektor, kanali 21-60, montaža na stup do Ø55mm, aluminijska</t>
  </si>
  <si>
    <t>Dobava, montaža i spajanje SAT teleskopski stup, d=4m, fi35/30mm, s kapom, pocinčani čelik 1.5mm</t>
  </si>
  <si>
    <t>Dobava, montaža i spajanje SAT steznik za stup za promjere 38-60mm, sa steznikom + 2 vijka + matice, čelični</t>
  </si>
  <si>
    <t>Dobava, montaža i spajanje SAT steznik za uzemljenje stupa do 100 cm, traka 428 cm, čelik</t>
  </si>
  <si>
    <t>Dobava, montaža i spajanje SAT vodilica za 4 koaks. kabela,stup 38-60mm,čelični</t>
  </si>
  <si>
    <t>Dobava i montaža SAT. zid.nosača, min.dim. R=350mm, V=250mm, ploča=175x175mm, stup=50mm,alu</t>
  </si>
  <si>
    <t>Dobava, montaža i spajanje koaksijalni F-konektor navojni, za kabele 6.6 - 6.8mm</t>
  </si>
  <si>
    <t>Dobava, montaža i spajanje koaksijalna vodonepropusna pregibnica za F-konektor, UV-otporan, neoprenska</t>
  </si>
  <si>
    <t>Dobava, montaža i spajanje  koaksijalni kabel 75Ohm 1.13/6.8, 90dB, klasa A, PE, crni, za vanjsko polaganje</t>
  </si>
  <si>
    <t>Dobava, polaganje  i spajanje kabela u kabelske kanalice ili odgovarajuće zaštitne cijevi koaksijalni kabel 75Ohm 1.02/6.8, 100dB, klasa A, PVC, Eca</t>
  </si>
  <si>
    <t>Dobava, montaža i spajanje SAT završna utičnica 3-struka, R/TV/SAT, kl.A, okvir+kućište</t>
  </si>
  <si>
    <t>Dobava, montaža i spajanje kabelskih polica za polaganje kabela, komplet sa svim spojnim i montažnim materijalom te poklopac kanala</t>
  </si>
  <si>
    <t>ANTENSKA INSTALACIJA UKUPNO:</t>
  </si>
  <si>
    <t>SOS SUSTAV</t>
  </si>
  <si>
    <t>Nabava, montaža i spajanje SOS centrale za smještaj iznad ulaznih vrata u invalidski sanitarni čvor. Glavno napajanje 230 V 50Hz. Centrala opremljenija s ispravljačem i potrebnom elektronikom za upravljanje sustavom. U trenutku poziva pojavljuje se zvučni signal, a crvena LED dioda promjera 20 mm počinje bljeskati. Podžbukna montaža - kutija 4 modula.</t>
  </si>
  <si>
    <t>Nabava, montaža i spajanje tipkala pored školjki ili tuš kabina. Predviđeno tipkalo opremljeno je poteznom vrpcom za uspostavu poziva pri čemu vrpca seže do visine 50cm od poda, crvenom LED indikacijom statusa koja se uključuje uslijed uspostave poziva. Predviđeno pozivno tipkalo ugrađuje se u negorivu podžbuknu ugradnu kutiju Ø60mm na visinu h=2.0m od poda.</t>
  </si>
  <si>
    <t>Nabava, ugradnja i spajanje SOS signalne svjetiljke sa biperom. Ugrađuje se u negorivu podžbuknu ugradnu kutiju Ø60mm na vidljivo mjesto.</t>
  </si>
  <si>
    <t>Dobava, montaža i spajanje kabela:</t>
  </si>
  <si>
    <t xml:space="preserve"> J-Y(St) 2x2x0,8mm2</t>
  </si>
  <si>
    <t>SOS SUSTAV UKUPNO:</t>
  </si>
  <si>
    <t>MULTIMEDIJA I OZVUČENJE</t>
  </si>
  <si>
    <t xml:space="preserve">Karakteristike elemenata u opisima troškovničkih stavki predstavljaju minimalne karakteristike koje isti moraju zadovoljiti. Dopustiva je izgradnja sustava od elemenata jednakih, ili boljih karakteristika. Ponuditelji karakteristike elemenata dokazuju dostavom originalnih tehničkih listova za ponuđenu opremu. Za sve stavke opreme dozvoljeno je odstupanje karakteristika ± 5% od nazivne vrijednosti, osim ako je drugačije definirano u opisu pojedine troškovničke stavke.
</t>
  </si>
  <si>
    <t>1</t>
  </si>
  <si>
    <t>RAZGLASNA CENTRALA</t>
  </si>
  <si>
    <t>1.1</t>
  </si>
  <si>
    <t>DOBAVA I POSTAVA - RAZGLASNE CENTRALE. Obračun po kompletu izvedene stavke.</t>
  </si>
  <si>
    <t>SADRŽANA OD SLJEDEĆIH ELEMENATA:</t>
  </si>
  <si>
    <t xml:space="preserve"> -</t>
  </si>
  <si>
    <t xml:space="preserve">panel napajanja, sekvencijalni uklop / isklop sljedećih </t>
  </si>
  <si>
    <t>19" rackmount panel s prekidačem za sekvencijalno uključenje / isključenje svih elemenata razglasne centrale, ugrađen svijetleća LED tipka za prikaz stanja, prihvat za 230V - jedan ulaz / 7 izlaza, osigurač 6-12A. Uključena zaštita za centralu.</t>
  </si>
  <si>
    <t xml:space="preserve"> - </t>
  </si>
  <si>
    <t>panel DSP audio jedinice</t>
  </si>
  <si>
    <t>Digitalni procesor s fiksnim ulazno-izlaznim rasporedom. Analogni ulazi/izlazi: 12 ulaza (mikrofonski/linijski); 8 izlaza (mikrofonski/linijski). Digitalna audio mreža: 32x32 Dante kanala; AES67 podrška. USB audio: Do 8 konfigurabilnih kanala; Bitna dubina: 16 ili 24-bit; frekvencija uzorkovanja: 48kHz. Frekvencijski odziv: 20Hz–20kHz; Dinamički raspon: &gt;108dB; EIN: &lt;–125dBu. Ulazna impedancija: 8kΩ; Izlazna impedancija: 207Ω; Maksimalni ulaz: +24dBu; Maksimalni izlaz (odabir): +24dBu do -31dBu. Kontrole i prikaz: OLED zaslon s kapacitivnim tipkama; Ethernet konfiguracija i upravljanje; RS-232; GPIO (4-pinski). Napajanje: Interno univerzalno; potrošnja: &lt;35W; Fantomsko napajanje: +48VDC (7mA/ulaz). Dimenzije: 4.4x48.3x26.7cm (VxŠxD); Zauzeće: 1HE; Masa: 3.63kg. Ugradnja u RC ormar. Certifikati: CE, RoHS.</t>
  </si>
  <si>
    <t xml:space="preserve">panel profesionalnog 4-kanalnog pojačala snage </t>
  </si>
  <si>
    <t>Profesionalno 19" rackmount 4-kanalno pojačalo snage 4x 80W@100V / 4Ω klase D. Izlazni konektor 4-pinski Euro terminalni blok; Osjetljivost -0.5dB ~ 10.5dB; Impedancija 10kΩ balansirano; Ulazni konektor 3-pinski Euro Terminal Block; SNR: &gt; 100dB; THD+N (@1kHz): &lt; 0,05%; Crosstalk (@1kHz): &lt; 70dB; Frekvencijski odziv (± 3dB): 110Hz - 20kHz; Ugrađen sustav zaštite od DC kvara, kratkog spoja, pregrijavanja i prepobude s funkcijom ograničenja signala kada je potrebno. Napajanje: 100 ~ 240 V AC / 50 ~ 60Hz; Zauzeće u RC: 1HE.</t>
  </si>
  <si>
    <t>panel mrežnog audio pojačalo</t>
  </si>
  <si>
    <t>Profesionalno 4-kanalno mrežno pojačalo s ugrađenim dante protokolom i integriranim DSP procesorom. Ulazni kanali: analogni: 4; Dante: 4. Izlazna snaga: 4×400W @ 2Ω, 4Ω, 8Ω ili 100V. Frekvencijski odziv: 20Hz–20kHz (±0.5dB). THD+N: &lt;0.05%. Omjer signal-šum: &gt;104dB(A). Unutarnja DSP obrada: 1024-tap "FIR linear phase", 32-bit "floating point" arhitektura, AD/DA konverzija: 24-bit @ 48kHz, dinamički raspon 125dB(A). DSP funkcije: parametarski i FIR ekvilajzer, aktivna kontrola prigušenja (Active DampingControl), višestupanjski limiterski sustav (TruePower, RMS, Peak), crossover filtri (Butterworth, Linkwitz-Riley, Bessel, FIR). Latencija: 2.5ms. Kašnjenje signala: 2s (input) + 100ms (output). Umrežavanje: Fast Ethernet (IEEE 802.3u, 100Mbit/s), Dante audio mreža. Uređaj podržava daljinsko upravljanje, monitoring, konfiguraciju zona i grupiranje zvučnika. Napajanje: univerzalno SMPS s PFC, 100–240VAC, 50/60Hz. Dimenzije (V×Š×D): 44×442×373mm (19"). Težina: 7.3kg.</t>
  </si>
  <si>
    <t xml:space="preserve">panel gigabitnog mrežnog 24-portnog PoE preklopnika </t>
  </si>
  <si>
    <t>Mrežni gigabitni PoE preklopnik, 24x RJ-45 Gigabit Ethernet (10/100/1000) priključaka, Class 4 PoE podrška na 12 priključaka, 2x SFP modula 1GbE. Procesor @ 800MHz, 512MB SDRAM interne memorije, 256MB flash memorija, paketni buffer 1.5MB. PoE kapacitet: 195W. Upravljačke značajke: Instant On Cloud, Web preglednik, SNMP Manager.</t>
  </si>
  <si>
    <t xml:space="preserve">primopredajnik bežične računalne mreže </t>
  </si>
  <si>
    <t>Pristupna točka ("access point") / Primopredajnik - Procesor: 64-bitni, 4-jezgreni 1,8GHz, RAM: 1 GB; Veličina pohrane: 128 MB, WiFi karakteristike: 2,4 GHz 802.11b/g/n/ax, 5 GHz 802.11a/n/ac/ax dual-chain; Ethernet 10/100/1000; Ethernet priključci: 4; Broj 1G Ethernet priključaka s PoE-outom: 1; Broj 2.5G Ethernet portova, 1x USB 3.0 tip A, PoE ulaz, PoE izlaz.</t>
  </si>
  <si>
    <t>24-portni Cat6 19" prespojni panel s RJ-45 konektorima</t>
  </si>
  <si>
    <t>24-portni Cat6 19" prespojni panel s 24x RJ-45 konekcije i 2x 24 Keystone RJ45 konektor za mrežne Cat6 instalacije. Keyston priključak - Kompatibilan s TIA/EIA-568.2-D, ISO/IEC 11801-1 i EN50173-1 standardima. EMI zaštita (dizajn). Priključivanje vodiča: 22AWG–26AWG izolirane žice. Električne karakteristike konektora: Dielektrična čvrstoća: 1000 VRMS/1min; Strujna izdržljivost: 1.5A max; Otpor izolacije: minimalno 10MΩ; Otpor kontakta: 2mΩ po kontaktu. Materijal konektora: fosforna bronca, pozlata: 50μ gold preko nikla; 100μ nikal preko phosphor bronze. Radni vijek konektora: minimalno 750 umetanja i 250 ponovnih terminacija (IDC kontakt). RoHS usklađeno. Zauzeće panela: 1HE.</t>
  </si>
  <si>
    <t>19" organizator kabela, horizontalni</t>
  </si>
  <si>
    <t xml:space="preserve">Horizontalni kabelski organizator za montažu u 19" ormar, zauzima 1U visinu. Konstrukcija: ABS materijal. Omogućuje organizaciju malih i velikih kabelskih snopova na uređajima ili patch panelima. Pristup s obje strane. Dimenzije: 482 x 44 x 66.5 mm (Š x V x D). </t>
  </si>
  <si>
    <t>mini osobno računalo, licenca za operativni sustav</t>
  </si>
  <si>
    <t>bežična tipkovnica i miš sljedećih karakteristika</t>
  </si>
  <si>
    <t>Mini osobno računalo - Procesor: min. 12 jezgri; CPU Cache 12MB; RAM - DDR4 SDRAM - 16GB; Brzina memorije: 3200MHz (PC4-25600); Ukupna količina memorijskih utora: 2; Dva DDR kanala. HDD - Format: M.2 22x80mm min. SSD 1000 GB; Podatkovni kanal: PCIe NVMe 4.0 x4; Tehnologija memorije: NAND Flash. Wi-Fi (plug-in-card): Wi-Fi 6E AX211 M.2 (key E); Wi-Fi mreža: IEEE 802.11ax Wi-Fi 6; Bluetooth 5.2; Podržana brzina: 2,5 Gbps. Konekcije: 2x HDMI tip A; Thunderbolt 4: x2; 3x USB 3.2 tip A; USB 2.0: 2x tip A; 1x Audio TRS 3,5 mm minijak; LAN: 1x RJ-45. Instalirani licencirani operativni sustav. U kompletu sa bežičnom tipkovnicom i mišem.</t>
  </si>
  <si>
    <t xml:space="preserve">panel bežičnih mikrofona sadržanog od elemenata </t>
  </si>
  <si>
    <t>U kompletu:
1x dvostruka baza / prijemnik (1HE)
1x ručni bežični mikrofon / odašiljač s nosačem za stalak
1x pojasni predajnik / bodypack
1x naglavni kondezatorski mikrofon
Karakteristike baze/prijemnika: True Diversity UHF dvostruka baza sa zasebnim. Rad u frekvencijskom području od 655 do 679MHz. Broj kanala: 96 (8 grupa po 12 kanala). Tip modulacije: FM. Broj antenskih priključaka: 2 (BNC). Redukcija šuma: "squelch". SNR: &gt;100dB. Frekventni odaziv: 30-16kHz. Audio izlaz: XLR; 6.3 mm TRS. Kontrola: uključivanje/isključivanje napajanja, izbornik (tipka s okretanjem), kontrola glasnoće. OLED ekran, napajanje: 12 - 18 V DC.
Karakteristike ručnog mikrofona / odašiljača: Tip: kondezatorski. Usmjerenost: kardioida. Raspon frekvencija odašiljanja: 655-679 MHz. Broj kanala: 96 (8 grupa po 12 kanala). Frekventni odaziv: 60Hz - 16kHz. THD: &lt;0.2% @ 1kHz; SNR: &gt;95 dB; Antena Gain: 0,5 dBi. Nazivna HF izlazna snaga: podesiva od 2-10-30mW. Kontrola: izbornik, konfiguracija (set). Power On/Off. Indikacija: OLED ekran, napajanje: 2x AA baterije. U kompletu: Držač mikrofona s gumiranom površinom za prihvat mikrofona. Montaža: "zašerafiti" na mikrofonski stalak (screw-on), podesiv nagib držača. Promjer prihvata mikrofona: 33mm. Navoj: 3/8" i 5/8". Materijal: plastika. Uključen adapter 5/8" → 3/8".
Karakteristike pojasnog predajnika (bodypack): Raspon frekvencija odašiljanja: 655-679MHz. Broj kanala: 96 (8 grupa po 12 kanala). Frekventni odaziv: 30Hz - 16kHz. THD: &lt;0.1% @ 1kHz; SNR: &gt;90 dB; Antena Gain: 0,5 dBi, Nazivna HF izlazna snaga, podesiva: 2-10-30mW. Konekcija: 3-pin mini XLR. Kontrola: izbornik, konfiguracija (set). Power On/Off. Indikacija: OLED ekran. Napajanje: 2x AA baterije.
Karakteristike naglavnog mikrofona: Frekventni odaziv: 20Hz-20kHz. impedancija: 680Ω; usmjerenost: kardioida, Konektor: 3-pin mini XLR (ženski). U kompletu sa spužvicom (zaštita od šuma vjetra).</t>
  </si>
  <si>
    <t>panel prezentacijskog preklopnika/skalera</t>
  </si>
  <si>
    <t>Prezentacijski preklopnik/skaler s 4K60(4:4:4) ulazima, skaliranjem slike, HDMI i HDBaseT izlazima te audio-video obradama - Ulazi: 3x HDMI; 1x VGA(15-pin HD); 1x HDBaseT(RJ45); 1x stereo analogni ulaz(3.5mm); 1x mikrofonski ulaz(6.3mm, phantom power 48V). Izlazi: 1x HDMI; 1x HDBaseT(RJ45); 1x stereo analogni izlaz(3.5mm). Maksimalna rezolucija: 4K@60Hz(4:4:4). HDBT domet: 130m@1080p; 100m@4K@60(4:2:0). HDMI: HDMI2.0. HDCP: HDCP2.2. Maksimalna VGA rezolucija: 1920x1200@60Hz. Skaliranje: precizno mapiranje piksela ("PixPerfect") tehnologija. "ProcAmp" kontrole: boja, nijansa, oštrina, šum, kontrast, svjetlina. Omjeri slike: puni prikaz, optimalno prilagođeni prikaz, overscan, underscan, letterbox, panscan. Audio: unbalanced stereo i embedded audio; mikrofonski ulaz s mixing/switching/talk-over funkcijama. HDBaseT tunneling: Ethernet i RS-232. Upravljanje: prednja ploča, RS-232, OSD, Ethernet(web). Napajanje: 48VDC; potrošnja: 850mA. Kućište: širina pola 19” 1U, aluminij. Hlađenje: konvekcija. Dimenzije: 21,46 x 16,30 x 4,36cm; težina: 1.5kg.</t>
  </si>
  <si>
    <t>4K HDR HDMI prijemnik</t>
  </si>
  <si>
    <t>HDBaseT prijemnik velikog dometa za 4K HDR HDMI, RS−232 i IR signale preko upredene parice. HDBaseT 1.0 standard, proširenje video signala do 70 m za rezolucije do 4K@30Hz (4:4:4) i do 40 m za 4K@60Hz (4:4:4). Podržava standardnu, visoku i bezkompresijsku obradu signala uz maksimalnu brzinu prijenosa podataka do 18 Gbps. Uređaj je sukladan s HDCP 2.2 i HDR10 standardima, s podrškom za Deep Color, Dolby TrueHD, DTS-HD i HDMI 2.0 funkcionalnosti. Konekcije - Ulazi: HDBaseT na RJ-45; Izlazi: HDMI; Ostalo: RS-232 na 3-pinskom terminalnom bloku, IR na 3,5 mm "mini jack" konektoru. Dvosmjerno proširenje RS-232 i IR (20–100 kHz). Dimenzije uređaja: 12,00 cm x 7,15 cm x 2,44 cm. Napajanje: 12V DC, 680mA.</t>
  </si>
  <si>
    <t>modularni audio player, kućište za ugradnju kartica</t>
  </si>
  <si>
    <t>Profesionalni modularni audio sustav s kućištem za smještaj min. 4 kartice različitih izvora zvuka (istovremeni nezavisni rad svake pojedinačne kartice). Uređaj sadrži ugrađen web server (HTML5), 2,8" LCD (TFT) ekran na prednjoj ploči, 4 USB porta, zvučnik s potenciometrom za slušanje pojedinog izvora, RS232 &amp; TCP/IP sučelje za kontrolu, opcionalno sučelje za smješta karticu za prijenos audio signala putem LAN mreže, te pripadajući softver za kontrolu izvora.</t>
  </si>
  <si>
    <t>modul kartice Internet audio reproduktora / streamera</t>
  </si>
  <si>
    <t>Kartica audio izvora - internet radio streamer s USB podrškom za reprodukciju uslijed nestanka internet veze. Baza s unešenih preko 30000 internet radio postaja / kanala, mogućnost pohrane  do 100 različitih unosa, balansirani stereo audio izlaz (2x 3-pinski terminal blok), USB sučelje (podržani FAT16 i FAT32), RJ45 LAN port. Podrška za audio formate: MP3, WMA, AAC. Izlazni nivo: +8 dB ~ -92 dB, THD+N (@ 1 kHz): &lt; 0.07%.</t>
  </si>
  <si>
    <t xml:space="preserve">modul kartice media reproduktora i snimača </t>
  </si>
  <si>
    <t>Kartica audio izvora - media player &amp; recorder s USB podrškom za reprodukciju. Moguća je reprodukcija medija za audio datoteka MP3, OGG, AAC, FLAC, WMA i WAV,  balansirani stereo audio izlaz (1x 3-pinski terminal blok),  balansirani stereo audio ulaz (1x 3-pinski terminal blok ), Izlazni nivo: +8 dB ~ -91dB, THD+N (@ 1 kHz): &lt; 0.07%</t>
  </si>
  <si>
    <t>modul kartice AM/FM prijemnika</t>
  </si>
  <si>
    <t>Kartica audio izvora - DAB/DAB+ &amp; FM tuner,  RDS, ručna i automatska pretraga,  balansirani stereo audio izlaz,  1x antenska priključak (F tip,  75Ω),  mogućnost memorijske pohrane min. 10 stanica,  mono/stereo način rada,  podesivi izlazni nivo audio signala,  podrška za DRC (dynamic range compression).</t>
  </si>
  <si>
    <t xml:space="preserve">modul kartice "voice file media" reproduktora / playera </t>
  </si>
  <si>
    <t>Kartica audio izvora - audio player s dodatkom 15x upravljačkih ulaznih kontakata (NO/NC). Mogućnost direktne reprodukcije s USB sučelja i/ili interne MicroSD kartice . Podržani formati: MP3, WMA, WAV, FLAC, OGG i AAC. 50 programibilnih mjesta (vremenski raspored i/ili prema dobivenim kontaktima). Funkcija određivanja prioritetnog audio zapisa, funkcija ponavljanja audio zapisa. Balansirani stereo audio izlaz: 2x 3-pinski terminal blok; NO/NC ulazi: 2x 8-pinski terminal blok; 1x USB (FAT16 i FAT32); Izlazni nivo: +8 dB ~ -91 dB; THD+N (@ 1 kHz): &lt; 0.07%.</t>
  </si>
  <si>
    <t>panel prisilnog uklopa na 2 linije sljedećih</t>
  </si>
  <si>
    <t>Prisilni uklop/aktivacija atenuatora na dvije linije prilikom reprodukcije alarmne (i/ili) drugih poruka. Visina: 1HE.</t>
  </si>
  <si>
    <t>panel releja za spuštanje projekcijskog platna</t>
  </si>
  <si>
    <t>Služi za spuštanje i podizanje projekcijskog platna uključuje dvije tipke (gore i dolje). 1H visine</t>
  </si>
  <si>
    <t xml:space="preserve">panel antenske distribucije s ugrađenim pojačalima </t>
  </si>
  <si>
    <t>Prof. 19" rackmount antenska distribucija s antenskim pojačalima. Ulaz: x2; Izlaz: x1. UHF raspon freq. 500 - 900MHz, BNC spoj, 50Ohma, pojačanje: 13dB. Ne interferira sa 4G mrežama.</t>
  </si>
  <si>
    <t>19" rackmount polica 1HE s ventilacijskim otvorima</t>
  </si>
  <si>
    <t>Rack polica za uređaje bez standardnih 19” montažnih nosača. Dimenzije (Š x V x D): 483 x 43,7 x 301,5 mm (standardna verzija). Visina: 1 HE. Maksimalna iskoristiva dubina: 300 mm (standardna verzija), Maksimalno opterećenje: 10kg (do 20kg sa stražnjim nosačima). Materijal: hladno valjani čelik, debljina 1,5 mm. Poboljšana ventilacija putem optimiziranog uzorka otvora. Integrirani otvori za vođenje kabela.</t>
  </si>
  <si>
    <t>19" rackmount polica 2HE s ventilacijskim otvorima</t>
  </si>
  <si>
    <t>Rack polica za uređaje bez standardnih 19” montažnih nosača. Dimenzije (Š x V x D): 483 x 88,1 x 301,5 mm (standardna verzija). Visina: 2 HE. Maksimalna iskoristiva dubina: 300 mm (standardna verzija), Maksimalno opterećenje: 12,5kg (20kg sa stražnjim nosačima). Materijal: hladno valjani čelik, debljina 1,5 mm. Integrirani otvori za vođenje kabela.</t>
  </si>
  <si>
    <t>19" slijepi panel 1HE</t>
  </si>
  <si>
    <t>slijepa ploča od 19'' za popunjavanje praznina između opreme. Visina 1 HE</t>
  </si>
  <si>
    <t xml:space="preserve">19" rack za smještaj opreme, ožičen, ispitan, </t>
  </si>
  <si>
    <t>Samostojeći 19" rack ormar s kapacitetom: 12U; dimenzije: 600 x 600 mm (širina x dužina); maksimalna iskoristiva dubina: 540mm. Konstrukcija: čelični okvir debljine 2mm, bočne i stražnje ploče 1.2mm; statičko opterećenje: 800kg; dinamičko opterećenje: 400kg. Vrata: prednja staklena, sa standardnim bravama; stražnja vrata i bočne stranice uklonjive, sa zaključavanjem. Montažni profili: prednji i stražnji, dubinski podesivi, s kvadratnim otvorima i označenim "U" pozicijama. Hlađenje: ventilacijska rešetka na vrhu. U opremi: 4x kotača (50mm), 4x nivelacijska noga, 4x ključ za vrata  (bočna, "front/back"), spojni elementi (matice, vijci), nosač DIN 1m. Boja: crna (RAL9004).</t>
  </si>
  <si>
    <t>OPĆE OZVUČENJE</t>
  </si>
  <si>
    <t xml:space="preserve">DOBAVA I POSTAVA - UGRADNI ZVUČNIK </t>
  </si>
  <si>
    <t>SLJEDEĆIH KARAKTERISTIKA ILI JEDNAKOVRIJEDNO (kom)</t>
  </si>
  <si>
    <t>Ugradni zvučnik: 2-sistemski; Veličina zvučnika: 6.5" niskotonski i 1" visokotonski; Snaga: 30W RMS; "Dynamic power": 60W; SPL: 87dB (1W/1m), 105dB max; Frekvencijski odziv: 60Hz–20kHz. 100V snage: 6/3/1.5W. Impedancija: 16Ω; Raspon širenja zvuka pri 1kHz: 180°. Materijali: Kućište ABS, rešetka aluminij. Ugradbeni otvor: 186mm; Vanjski promjer: 205mm; Dubina: 75mm. Boja: bijela RAL9010. Težina: 1.4kg. Kućište: ABS plastika; zaštita: IP54; aluminijska prednja rešetka, otporna na vlagu. Mogućnost bojanja rešetke.</t>
  </si>
  <si>
    <t>2.2</t>
  </si>
  <si>
    <t>DOBAVA I POSTAVA - ZVUČNIK NADGRADNI</t>
  </si>
  <si>
    <t>zvučnik – 2-sistemski sustav; niskotonski zvučnik: 5,25"; visokotonski zvučnik: 1". Frekvencijski odziv: 70–20kHz; SPL(1W/1m): 88dB; Maksimalni SPL(1m): 107dB. Impedancija: 16Ω; RMS snaga: 50W; Dinamička snaga: 80W. 100V transformator – odabrivi tapovi: 30–15–6–3W. Širenje zvuka(1000Hz): horizontalno 180°, vertikalno 180°. Materijali – kućište: ABS plastika; mrežica: čelik. Montaža: U-nosač; Quick-Fit kabelske stezaljke. Boje: RAL9003 (bijela). Dimenzije: 170×260×180mm; Težina: 2,85kg.</t>
  </si>
  <si>
    <t>2.3</t>
  </si>
  <si>
    <t xml:space="preserve">DOBAVA I POSTAVA - ZIDNI DIGITALNI, PROGRAMABILNI </t>
  </si>
  <si>
    <t>"TOUCH" KONTROLER, SLJEDEĆIH KARAKTERISTIKA</t>
  </si>
  <si>
    <t>ILI JEDNAKOVRIJEDNO (kom)</t>
  </si>
  <si>
    <t>Zidni digitalni mrežni kontroler s kapacitivnim visoko-kontrastnim LCD zaslonom osjetljivim na dodir dijagonale 3.8"; podrška za do 12 programibilnih tipki; automatska prilagodba osvjetljenja zaslona prema ambijentalnom svjetlu; statusna indikacija putem RGB LED trake s podesivim osvjetljenjem; podržava TTP komande; kaskadno povezivanje do 4 jedinice. Napajanje: PoE (IEEE 802.3at Class 3, 15W). Povezivost: RJ-45 Ethernet. Dimenzije: 130x90x13mm; težina: 136g. Postava u kutiju ϕ68 (duboka). Boja: bijela.</t>
  </si>
  <si>
    <t>2.4</t>
  </si>
  <si>
    <t>DOBAVA I POSTAVA - KOMPLET ZIDNOG KONTROLERA</t>
  </si>
  <si>
    <t>S LOKALNIM ULAZIMA SLJEDEĆIH KARAKTERISTIKA</t>
  </si>
  <si>
    <t>Zidni kontroler za prijenos signala putem upredenog para CAT5e ili boljeg; stereo linijski ulaz: 3.5mm jack; balansirani mikrofon ulaz: XLR; Bluetooth prijemnik s tipkom za uparivanje i LED indikatorom; individualna kontrola razine ulaza za Mic &amp; Line. Dimenzije: 80x80mm; dubina ugradnje: 52.7mm; težina: 0.07kg. Prednja ploča: ABS sa staklenom završnom obradom; Boja: bijela. Postava u kutiju ϕ68 (duboka).</t>
  </si>
  <si>
    <t>2.5</t>
  </si>
  <si>
    <t>DOBAVA I POSTAVA - REGULATORA ZVUKA ATENUATORA</t>
  </si>
  <si>
    <t>Ukupno 8 pozicija, maksimalna snaga 60W@100V. Sadrži funkciju prisilnog uklopa preko 3. žice kabelske linije. Komplet s okvirom i nosačem za postavu / ugradnju u kutiju fi68.</t>
  </si>
  <si>
    <t>2.6</t>
  </si>
  <si>
    <t xml:space="preserve">DOBAVA I POSTAVA - POZIVNA STANICA S MIKROFONOM </t>
  </si>
  <si>
    <t>Komunikacijska stanica s 10 programabilnih tipki i mikrofonom s guščjim vratom; podržava stolnu i zidnu montažu; "Push-to-talk" tipka s indikacijom statusa; mogućnost rada bez ruku s funkcijom "Page latch"; pohrana do 999 korisnički definiranih pozivnih kodova; 16 programabilnih razina prioriteta; prijenos zvuka i kontrolnih podataka putem AVB ili Dante; reprodukcija do 10 spremljenih poruka s ukupnim kapacitetom pohrane od 50 minuta; lokalna pohrana zadanih ili prilagođenih uvodnih poruka; napajanje putem PoE; zaslon: LCD s pozadinskim osvjetljenjem; mogućnost zaštite mikrofona PIN-om. Mrežna povezanost: Gigabitni Ethernet, RJ-45 (Cat 5e i iznad); Frekvencijski odziv: 150Hz - 16kHz (±3dB); Odnos signal-šum (1kHz, 94dBSPL, A-Weighted): &gt;76dB; Maksimalni SPL (THD+N &lt; 1%): 109dB; Dinamički raspon (THD+N &lt; 1%): 92dB, A-Weighted; Tip mikrofona: MEMS; Uzorak mikrofona: Kardioid;</t>
  </si>
  <si>
    <t>2.7</t>
  </si>
  <si>
    <t>DOBAVA I POSTAVA - KOMPLET ZIDNE UGRADNE</t>
  </si>
  <si>
    <t>KUTIJE I PRIPADAJUĆIH MODULA SLJEDEĆIH</t>
  </si>
  <si>
    <t>KARAKTERISTIKA ILI JEDNAKOVRIJEDNO (kom)</t>
  </si>
  <si>
    <t>Komplet priključne kutije za postavu u zid. Sadrži: ugradnu kutiju 7M, nosač, okvir, moduli: 230V, 2x slijepac 1M (prolaz dva kabela).</t>
  </si>
  <si>
    <t>UČIONICE - MULTIMEDIJA</t>
  </si>
  <si>
    <t>3.1</t>
  </si>
  <si>
    <t>DOBAVA I POSTAVA - DVOSISTEMSKI ZVUČNIČKI SUSTAV</t>
  </si>
  <si>
    <t>Stereo aktivni zvučnički sustav sastavljen od aktivnog i pasivnog zvučnika. Konfiguracija: dvosistemski zvučnik s 5¼″ niskotonskim i ½″ visokotonskim driverom. Ugrađeni DSP. Snaga: 2×40W; kontinuirano 2×20W. Ulazi: balansirani stereo (2× 3-pin Euroblock), nebalansirani stereo (2× 3.5mm jack). Remote veza: RJ45. Frekvencijski odziv: 80Hz–20kHz(±3dB). Osjetljivost: 89dB(1W/1m). Maksimalni SPL: 105dB. Mogućnosti montaže: horizontalno/vertikalno, nagib 45°, uvučeni nosač. Auto-standby funkcija. Materijal: ABS kućište, čelična rešetka. Napajanje: 100–240VAC 50/60Hz. Dimenzije (bez nosača): 150×240×146mm. Težina: 3.5kg/par. U kompletu: nosač, kabel za napajanje, zvučnički kabel 3.5m, montažni pribor.</t>
  </si>
  <si>
    <t>3.2</t>
  </si>
  <si>
    <t>DOBAVA I POSTAVA - ZIDNI AUDIO PANEL</t>
  </si>
  <si>
    <t>Zidni audio panel s mikrofonskim i linijskim ulazom, Dimenzije: 80 x 80 mm. Ulazi: 3.5 mm stereo linijski priključak; XLR mikrofonski priključak. Izlaz: 8-pinski terminalni blok (3.81 mm raster). Kontrole: Pojedinačna regulacija glasnoće za Mic i Line; Phantom napajanje (DIP prekidač); Low-cut filter (Mic) uključivanje/isključivanje (DIP prekidač). Izlazna razina: +12 dB. Povezivanje: Prijenos signala putem CAT5e ili boljeg kabela. Boja: Bijela. Ugradnja: duboka fi68mm kutija.</t>
  </si>
  <si>
    <t>3.3</t>
  </si>
  <si>
    <t xml:space="preserve">DOBAVA I POSTAVA - 65" EKRAN OSJETLJIV NA DODIR S </t>
  </si>
  <si>
    <t>"WHITEBOARD / SMARTBOARD" FUNKCIJAMA</t>
  </si>
  <si>
    <t>Interaktivni zaslon - Veličina zaslona: 65"; Rezolucija: 3840x2160 (4K UHD); Tip panela: ADS s Direct LED osvjetljenjem; Omjer: 16:9; Svjetlina: &gt;450cd/m²; Kontrast: 5000:1; Vrijeme odziva: 8ms; Osvježavanje: 60Hz; Kut gledanja: 178° H/V; Vijek trajanja: 50.000h. Touch tehnologija: Napredni infracrveni sustav s visokom preciznošću, Dodirne točke: do 50 točaka, podržava osjetljivost na pritisak, prepoznavanje dlana. Površina: Kaljeno staklo, antirefleksno (~15% haze), antibakterijsko. Brzina dodira: &lt;3ms; Minimalna veličina dodira: 2 mm / ±0.5 mm. Prepoznavanje alata: tanka olovka: &gt;2,8 mm; debela olovka: &gt;8 mm; mali brisač: &gt;12 mm; veliki brisač: &gt;9 cm². Kompatibilnost sa standardnim operativnim sustavima. Audio sustav: 2x20W (200-20kHz) + 1x20W niskotonski zvučnik (20-200Hz). Procesor: OctaCore (8 jezgri) 4x 2,2GHz + 4x 1,8GHz; RAM: 8GB; Pohrana: 128GB eMMC. WiFi: 802.11a/b/g/n/ac/ax, dual-band; Bluetooth: 5.3. Instalirane aplikacije: Aplikacija za crtanje i pisanje po ekranu "Whiteboard", Alat za snimanje zaslona, Alat za snimanje video zapisa sadržaja zaslona. Funkcija za zamrzavanje trenutnog prikaza na ekranu. Jezik izbornika: Hrvatski. Konekcije – Prednje: 2x USB-A 3.2 Gen1; 1x HDMI 2.1 ulaz; 1x USB-C (100W); 1x USB-B touch. Konekcije – Stražnje/bočne: OPS slot; 2x USB-B touch; 1x USB-C (65W); 1x DisplayPort; 2x HDMI 2.1 ulaza; 3x USB-A (2x 3.2, 1x 2.0); 1x HDMI izlaz; 1x 3.5mm audio out; 1x SPDIF optički; 1x Mic-in 3,5mm; 2x RJ45 (LAN); 1x RS232. Napajanje: 100–240V AC, 50/60Hz. Dimenzije (ŠxDxV): 1484x87x891mm; Težina: 37kg. VESA: 600x400mm. U kompletu: IR daljinski, kabel za napajanje, HDMI i USB A/B kabeli (3m), 2x stylus, brisalo.</t>
  </si>
  <si>
    <t>3.4</t>
  </si>
  <si>
    <t xml:space="preserve">DOBAVA I POSTAVA - OPS RAČUNALNI MODUL </t>
  </si>
  <si>
    <t>OPS računalni modul za integraciju u interaktivne zaslone s 12. generacijom procesora. Procesor: i5-12450H; frekvencija: do 4.7GHz; konfiguracija jezgri: 4 performance + 4 efficiency; snaga procesora: 45W. Memorija: 8GB DDR4 3200MHz; utori: 2x SO-DIMM. Pohrana: SSD 256GB. Grafika: UHD Graphics. Video izlazi: HDMI (4096x2160@60Hz, 80-pin JAE konektor); DisplayPort 1.4 (7680x4320@60Hz). Sučelja: 2x Thunderbolt 4 (USB-C); 2x USB 3.2 Gen1; 2x USB 2.0; 1x RJ45 LAN; Audio: 3.5mm kombinirani mic/line. Povezivost: Wi-Fi (AX201 2.4/5GHz); Bluetooth 5.2. Napajanje: 12V/19V, 5A. Značajke: Auto Power On; RTC; Wake on LAN. Instaliran licencirani operativni sustav. Kućište: metalno. Dimenzije: 180x119x30mm; težina: 1.25kg. Certifikat: CE (UKCA). U kompletu: 2x Wi-Fi antena, bežična tipkovnica i miš.</t>
  </si>
  <si>
    <t>3.5</t>
  </si>
  <si>
    <t>DOBAVA I POSTAVA - FIKSNI ZIDNI NOSAČ ZA EKRAN</t>
  </si>
  <si>
    <t>DIJAGONALE 55"-80" SLJEDEĆIH KARAKTERISTIKA</t>
  </si>
  <si>
    <t xml:space="preserve">Profesionalni zidni nosač za ekrane veličine od 55" do 80" s nosivosti minimalno 100kg, minimalna udaljenost od zida 35mm. Uzorak rupa - VESA standard od 75mm x 75mm do 800mm x 500mm, Boja: Crna, Orijentacija ekrana za montažu: Horizontalna, Integrirana brava za zaključavanje, Horizontalno izravanavanje nakon ugradnje. </t>
  </si>
  <si>
    <t>3.6</t>
  </si>
  <si>
    <t>KARAKTERISTIKA ILI JEDNAKOVRIJEDNO (kpl)</t>
  </si>
  <si>
    <t>Komplet priključne kutije za postavu u zid. Sadrži: ugradnu kutiju 4M, nosač, okvir, moduli: 1x 230V, 2x slijepac (prolaz 2x kabel).</t>
  </si>
  <si>
    <t>3.7</t>
  </si>
  <si>
    <t>Komplet priključne kutije za postavu u zid. Sadrži: ugradnu kutiju 7M, nosač, okvir, moduli: 1x 230V, 2x RJ45, 3x slijepac (prolaz za kabele).</t>
  </si>
  <si>
    <t>3.8</t>
  </si>
  <si>
    <t>Komplet priključne kutije za postavu u zid. Sadrži: ugradnu kutiju 7M, nosač, okvir, moduli: 1x 230V, 1x RJ45, 1x USB-A, 1x TRS,6,3mm, 2x slijepac (prolaz).</t>
  </si>
  <si>
    <t>3.9</t>
  </si>
  <si>
    <t xml:space="preserve">DOBAVA I POSTAVA - HQ USB 3 - A/B KABEL SLJEDEĆIH </t>
  </si>
  <si>
    <t>KARAKTERISTIKA ILI JEDNAKOVRIJEDNO (5m/kom)</t>
  </si>
  <si>
    <t>USB kabel 3.0 (muški: A/B), 5m; Podržava brzinama prijenosa podataka do 5GBit/s. Pozlaćeni bakreni kontakti. Dužina: 5m.</t>
  </si>
  <si>
    <t>3.10</t>
  </si>
  <si>
    <t xml:space="preserve">DOBAVA I POSTAVA - HQ HDMI KABEL SLJEDEĆIH </t>
  </si>
  <si>
    <t>KARAKTERISTIKA ILI JEDNAKOVRIJEDNO (6,1m/kom)</t>
  </si>
  <si>
    <t>High–Speed HDMI kabel s podrškom za 4K@30Hz (4:4:4) rezolucije, 24K pozlaćeni kontakti / konektori, konektor koji spriječava odspajanje (tehnologija "Pull–Resistant"), prijenos podataka 10,2 Gbps. Dužina kabela: 7,6m (+/-5%).</t>
  </si>
  <si>
    <t>DVORANA</t>
  </si>
  <si>
    <t>4.1</t>
  </si>
  <si>
    <t>DOBAVA I POSTAVA - NADGRADNI ZVUČNIK  S NOSAČEM</t>
  </si>
  <si>
    <t>Kompaktni dvosistemski zvučnik, puni raspon, trapezoidalni, bas-refleks kučište, frekvencijski zasjenjeni LF dio ("shaded").; radni raspon: 70Hz–18kHz(-10dB); frekvencijski odziv: 90Hz–16kHz(±3dB); osjetljivost: 92dB(1W/1m); maksimalni SPL: 115dB, vršno 121dB. Snaga: 200W kontinuirano / 500W programski(4Ω); minimalna impedancija: 3,5Ω@220Hz. Širenje zvuka(–6dB): 90°H × 70°V. Crossover frekvencija: 1,3kHz. Preporučena DSP obrada: 80Hz HPF, 24dB/oct Butterworth. Zaštita: sklop za zaštitu zvučničkih jedinica ("driver"). Zvučničke jedinice: 2x 6,5" LF cone + 1x 1" HF driver. Ulazi: NL4 kompatibilni konektor i terminal strip (paralelno). Kućište: 18mm 11-slojna križno lamelirana breza; mrežica: čelik; završna obrada: crna. Uključen "yoke-style" nosač s odstojnicima 10°/20°. Dimenzije: 573×249×258mm; težina: 12,7kg.</t>
  </si>
  <si>
    <t>DOBAVA I POSTAVA - 2x 8" NISKOTONSKI ZVUČNIK</t>
  </si>
  <si>
    <t>Niskotonski zvučnik – Radni raspon: 55Hz–400Hz; frekvencijski odziv (procesuirano): 60Hz–160Hz(±1dB); osjetljivost: 95dB(1W/1m); maksimalni SPL: 120dB, vršno 127dB; impedancija: 4Ω; minimalna impedancija: 4,8Ω@130Hz; ulazna snaga: 300W kontinuirano / 750W programski(4Ω). Širenje zvuka(–6dB): 360° H × 180° V. Ugrađena zaštita: Preporučena DSP obrada: 55Hz HPF, 48dB/oct. Zvučničke jedinice: LF 2×8". Ulazi: 1× NL4-kompatibilni konektor; 1× dvožilni priključni terminal. Kućište: 11-slojna križno lamelirana breza; završna obrada: crna boja; uključena oprema: 4× gumirane nogice. Dimenzije: 210×552×330mm; težina: 19,1kg.</t>
  </si>
  <si>
    <t>Nadgradni dvosistemski zvučnik s radnim rasponom od 90 Hz do 18 kHz (-10 dB). Nominalna osjetljivost 92 dB (1W/1m) u slobodnom prostoru. Zvučničke jedinice:  1x 6,5" LF i 1x 1" HF, sklop za zaštitu zvučničkih jedinica ("driver"). Nominalna impedancija: 8Ω, minimalna impedancija: 6Ω pri 200 Hz. Frekvencijski odziv: 110 Hz do 16 kHz (±3 dB). Maksimalni ulaz: 100 W kontinuirano, 250 W program, 28.3 V RMS. Maksimalni izlaz: 112 dB SPL, 118 dB SPL (peak). NL4-kompatibilni konektori i terminalna traka za paralelnu vezu. Beamwidth: 90° H x 70° V. Dimenzije (v x š x d): 395 × 249 × 258 mm. Težina (s nosačem): 8,9 kg.</t>
  </si>
  <si>
    <t>DOBAVA I POSTAVA - KOMPLET ZIDNI ORMAR SLJEDEĆIH</t>
  </si>
  <si>
    <t>Nadgradni poliester zidni ormar, dimenzije; 300x250x140mm (VxŠxD), IP66 , prozirna vrata, samogasivi (960°C prema IEC 60695-2-10), dvostruka izolacija (prema IEC 60439-1), temperatura okoline: -30°C do +105°C, otvaranje vrata pod kutem 180°, nehrđajuće šarke, brava (double bar). U kompletu: nosači, montažnu ploča i montažni pribor.</t>
  </si>
  <si>
    <t>4.5</t>
  </si>
  <si>
    <t>DOBAVA I POSTAVA - 4K HDMI PREDAJNIK</t>
  </si>
  <si>
    <t>HDBaseT predajnik za 4K HDMI i dvosmjerne RS−232 i IR signale. Prijenos signala do min. 40m pri 4K@60Hz (4:2:0) i do 70m pri full HD 1080p@60Hz. Propusnost: min. 10,2Gbps. HDCP 2.2. Napajanje: 12VDC (2A). Ulazi HDMI: HDMI F; IR: Na 2-pinski terminal blok (Tx−1 ili Tx−2 i G) za proširenje signala preko HDBT linije; Izlazi HDBT: RJ−45; IR: Na 2-pinska terminal bloka (Rx (na IR), G) za emitiranje signala primljenog s HDBT linije; RS-232: Na 3-pinska terminal bloka (G, Rx, Tx) za proširenje signala preko HDBT linije; RS-232: Na 3-pinska terminal bloka (G, Rx, PROG) za nadogradnju FW. Montaža u zidni ormar u nadgradnu kutiju 80x80x59,5.</t>
  </si>
  <si>
    <t>4.6</t>
  </si>
  <si>
    <t>Zidni kontroler za prijenos signala putem upredenog para CAT5e ili boljeg; stereo linijski ulaz: 3.5mm jack; balansirani mikrofon ulaz: XLR; Bluetooth prijemnik s tipkom za uparivanje i LED indikatorom; individualna kontrola razine ulaza za Mic &amp; Line. Dimenzije: 80x80mm; dubina ugradnje: 52.7mm; težina: 0.07kg. Prednja ploča: ABS sa staklenom završnom obradom; Boja: bijela. Montaža u zidni ormar u nadgradnu kutiju 80x80x59,5.</t>
  </si>
  <si>
    <t>Zidni digitalni mrežni kontroler s kapacitivnim visoko-kontrastnim LCD zaslonom osjetljivim na dodir dijagonale 3.8"; podrška za do 12 programibilnih tipki; automatska prilagodba osvjetljenja zaslona prema ambijentalnom svjetlu; statusna indikacija putem RGB LED trake s podesivim osvjetljenjem; podržava TTP komande; kaskadno povezivanje do 4 jedinice. Napajanje: PoE (IEEE 802.3at Class 3, 15W). Povezivost: RJ-45 Ethernet. Dimenzije: 130x90x13mm; težina: 136g. Montaža u zidni ormar u nadgradnu kutiju 80x80x59,5.</t>
  </si>
  <si>
    <t>4.8</t>
  </si>
  <si>
    <t>DOBAVA I POSTAVA - KOMPLET ZIDNE NADGRADNE</t>
  </si>
  <si>
    <t>Komplet priključne kutije za postavu u zid. Sadrži: nadgradnu kutiju 2x 4M: 1x 230V, 2x RJ45, 1x XLR(ž), 1x TRS 6,3mm, 1x slijepac. Montaža u zidni ormar.</t>
  </si>
  <si>
    <t>4.9</t>
  </si>
  <si>
    <t>DOBAVA I POSTAVA - 3LCD LASER WUXGA VIDEO / DATA</t>
  </si>
  <si>
    <t>PROJEKTOR SLJEDEĆIH KARAKTERISTIKA</t>
  </si>
  <si>
    <t>Laserski projektor - Tehnologija: 3LCD, RGB liquid crystal shutter; Veličina LCD panela: 0,67" s C2 Fine. Svjetlina: 7.000 lm (standardno); 4.900 lm (ekonomično) prema IDMS15.4/ISO 21118:2012. Rezolucija: WUXGA; Poboljšanje rezolucije: High definition Full HD; Omjer kontrasta: preko 2.500.000:1. Izvor svjetla: laser; Trajnost izvora svjetla: 20.000 h (visoko), 30.000 h (eko). Keystone korekcija: vertikalno ±30°; horizontalno ±30°. Optika: Omjer bacanja: 1,35 - 2,20:1; Zum: manualni 1 - 1,6; Pomak leće: vertikalno ±50%, horizontalno ±20%. Veličina slike: 50" - 500"; Projekcijska udaljenost: 1,44 m - 23,84 m; F-broj leće: 1,5 - 1,7; Žarišna duljina: 20 - 31,8 mm; Fokus: ručni. Povezivost: USB 2.0-A, USB 2.0-B, RS-232C, Ethernet 100 Base-TX/10 Base-T, Wireless LAN 802.11a/b/g/n/ac, VGA ulaz (2x), VGA izlaz, HDMI izlaz, HDBaseT, Miracast, Audio ulaz/izlaz "mini-jack", HDMI (HDCP 2.3) (2x), USB 2 Type A playback. Ostale značajke: A/V utišavanje, Automatsko uključivanje, Automatsko pretraživanje izvora, Prilagodljivi korisnički logotip, Digitalni zum, Izravno uključivanje / isključivanje napajanja, Početni zaslon, Horizontalna i vertikalna keystone korekcija, JPEG preglednik, PC Free, Zrcaljenje zaslona, Funkcija podijeljenog zaslona, Kontrola glasnoće, Web Control, Web Remote, Podržava bežičnu LAN mrežu. Napajanje: AC 100-240 V, 50/60 Hz; Potrošnja: 345 W (normalno), 258 W (eko), 0,3 W (standby). Težina: 8,4 kg. Razina buke: 38 dB (normalno), 27 dB (eko). Ostale značajke: ugrađeni zvučnik 10 W; Boja: crna. Montaža: stropna ili stolna. U kompletu sa stereo izolator uzemljenja za eliminaciju bruma s priključcima: 3,5mm muški i 2x XLR-M.</t>
  </si>
  <si>
    <t>4.10</t>
  </si>
  <si>
    <t>DOBAVA I POSTAVA - STROPNI NOSAČ ZA  PROJEKTOR</t>
  </si>
  <si>
    <t>Stropni nosač za projektor s aluminijskim kuglastim zglobom. Udaljenost projektor/strop: 41–61cm; kontinuirano teleskopsko podešavanje visine; nagib ±20° i rotacija ±180°; nosivost max25kg. Montaža: dijagonalni razmak montažnih točaka 138–378mm; sustav brzog skidanja. Kabelski kanal integriran u stup. U kompletu s navojnim umecima i vijcima. Boja: bijela.</t>
  </si>
  <si>
    <t>4.11</t>
  </si>
  <si>
    <t xml:space="preserve">DOBAVA I POSTAVA - UGRADNO, MOTORIZIRANO </t>
  </si>
  <si>
    <t>ZATEGNUTO PROJEKCIJSKO PLATNO SLJEDEĆIH</t>
  </si>
  <si>
    <t xml:space="preserve">Ugradno projekcijsko platno s električnim motorom, zategnuto projekcijsko platno, dimenzija vidljive površine 366 x 229 cm (format 16:10, dijagonala 170”), Crni rub: gornja strana 35cm, ostale strane 5cm. Materijal platna: White Ice, faktor refleksije 1.1. Napajanje 220V/50Hz, europski standard. </t>
  </si>
  <si>
    <t>4.12</t>
  </si>
  <si>
    <t>DOBAVA I POSTAVA - SCENSKI LED RASVJETNI REFLEKTOR</t>
  </si>
  <si>
    <t>LED rasvjetno tijelo za kompaktno wash osvjetljenje, kompatibilno s ILS ekosustavom. RGB miješanje boja i statične boje bez DMX-a; ugrađeni automatizirani programi u Master/Slave ili DMX načinu rada. Broj DMX kanala: 3 ili 7; konektor: 3-pin XLR; strobe: 0–20Hz. Izvor svjetla: 108xLED (36R/36G/36B) 0,25W; kut snopa 14°; kut polja 23°; osvjetljenje 1.337lux@2m. Ulazni napon 100–240VAC 50/60Hz; potrošnja 11W. Dimenzije 246×282×64mm; težina 1kg. Uključeno: kabel za napajanje.</t>
  </si>
  <si>
    <t>4.13</t>
  </si>
  <si>
    <t>DOBAVA I POSTAVA - SCENSKI RASVJETNI REFLEKTOR</t>
  </si>
  <si>
    <t>Reflektor za scensku rasvjetu. Funkcija: Stvaranje oštrih ("hard-edge") snopova. Izvor svjetla: 1x LED 700mA (bijela 6.500K), trajnost 50.000h. Iluminacija: 4.120lux@2m (6°); 1.335lux@2m (9°). Kut snopa: 6° (ugrađeno); 9° (uključen dodatni objektiv). Maksimalna radna temperatura: 40°C. Težina: 0.4kg. Napajanje: 100–240VAC 50/60Hz; potrošnja pri 120V: 4W, 0.1A max.</t>
  </si>
  <si>
    <t>4.14</t>
  </si>
  <si>
    <t>DOBAVA I POSTAVA - PODNA PRIKLJUČNA KUTIJA. Obračun po kompletu izvedene stavke.</t>
  </si>
  <si>
    <t>Komplet sadrži: tijelo kutije, lim za montažu poklopca, ugradni okvir s poklopcom, kadica za priključke, kutni metalni nosač za ugradnju priključaka, priključci (moduli) kako slijedi:</t>
  </si>
  <si>
    <t>Prolazna i razvodna podna kutija za sustav podnih kanala ispod glazure, s bočnom stranicama od čelika. Niveliranje na visinu glazure od 80 do 160 mm. Mogućnost odvajanja okvira od donjeg dijela. Dimenzije kanala: širina: 190 - 350mm; visina: 28 - 58mm. Materijal: čelik (pocinčana površina).</t>
  </si>
  <si>
    <t xml:space="preserve">lim za montažu poklopca sljedećih karakteristika ili </t>
  </si>
  <si>
    <t>Prihvatni lim nazivne veličine 350mm za osnovu podne kutije. Montažni otvor udubljen je za 3mm. Materijal: čelik, galvanski pocinčano. Debljina lima: 4mm. Materijal: Čelik (pocinčana površina).</t>
  </si>
  <si>
    <t>nivelirajuća kazeta sa izvodom za kabele sljedećih</t>
  </si>
  <si>
    <t xml:space="preserve">Nivelirajuća kazeta veličine 9, priključna, za ugradnju elektroelemenata u podove. Za ugradnju 3 univerzalna nosača UT4, za 9x standardna ili 12x "Modul 45" elektroelemenata. Dimenzija 243x243mm, Debljina podne obloge: 25mm. Područje niveliranja: 110 - 155mm. </t>
  </si>
  <si>
    <t>Univerzalni nosač s dvije stezaljke, pregradom i pokrovnom pločicom za ugradnju 4 elektroelementa "Modul 45" u nosač.</t>
  </si>
  <si>
    <t>priključnica sa zaštitnim kontakom 33°, Connect 45, 2-struka</t>
  </si>
  <si>
    <t>Priključnica sa zaštitnim kontaktom 2-struka 33°, s povećanom zaštitom od dodira, s utičnim stezaljkama, 2-polna, 16A, 250V.</t>
  </si>
  <si>
    <t xml:space="preserve">kutni metalni nosač za GB3 standard sljedećih karakteristika </t>
  </si>
  <si>
    <t xml:space="preserve">GB3 metalni kutni nosač za prihvat ukupno 6 jednostrukih modula ili 3 dvostruka modula.		</t>
  </si>
  <si>
    <t>HDMI modul, ženski</t>
  </si>
  <si>
    <t>priključni modul HDMI</t>
  </si>
  <si>
    <t xml:space="preserve">RJ45 LAN modul, ženski S/FTP </t>
  </si>
  <si>
    <t>priključni modul RJ-45</t>
  </si>
  <si>
    <t xml:space="preserve">priključni modul za GB3 standard - XLR-M </t>
  </si>
  <si>
    <t>priključni modul XLR / TRS 6,3mm Combo</t>
  </si>
  <si>
    <t>4K HDR HDMI odašiljač</t>
  </si>
  <si>
    <t>Visokoučinkoviti HDBaseT odašiljač velikog dometa za 4K HDR HDMI, RS−232 i IR signale preko upredene parice. Pretvara ulazne signale u odaslani HDBaseT signal. Proširuje video signale do 70 m preko bakrenih kabela u video rezolucijama do 4K@60Hz (4:4:4). Kompatibilan je sa standardnim ekstenderima kompatibilnim s HDBaseT pri 4K@30Hz i HD video rezolucijama. Konekcije - Ulaz: HDMI; Izlaz: RJ-45, Ostalo: RS-232: Na 3-pinskom priključku terminalnog bloka za proširenje serijske veze; IR: Na 3,5 mm mini jack konektoru.</t>
  </si>
  <si>
    <t>slijepi modul 0,5M</t>
  </si>
  <si>
    <t>slijepi modul veličine 0,5M</t>
  </si>
  <si>
    <t>slijepi modul 1M</t>
  </si>
  <si>
    <t>slijepi modul veličine 1M</t>
  </si>
  <si>
    <t>4.15</t>
  </si>
  <si>
    <t>Komplet priključne kutije za postavu u zid. Sadrži: ugradnu kutiju 7M, nosač, okvir, moduli: 1x 230V, 1x XLR(ž), 1x XLR(m) 1x slijepac 1M</t>
  </si>
  <si>
    <t>4.16</t>
  </si>
  <si>
    <t>Komplet priključne kutije za postavu u zid. Sadrži: ugradnu kutiju 7M, nosač, okvir, moduli: 2x RJ45, 2x XLR(ž), 1x slijepac 1M.</t>
  </si>
  <si>
    <t>4.17</t>
  </si>
  <si>
    <t>KARAKTERISTIKA ILI JEDNAKOVRIJEDNO (3m/kom)</t>
  </si>
  <si>
    <t>High–Speed HDMI kabel s podrškom za 4K@60Hz (4:4:4) rezolucije, 24K pozlaćeni kontakti / konektori, konektor koji spriječava odspajanje (tehnologija "Pull–Resistant"), prijenos podataka 18 Gbps. Dužina kabela: 3m (+/-5%).</t>
  </si>
  <si>
    <t>4.18</t>
  </si>
  <si>
    <t>KARAKTERISTIKA ILI JEDNAKOVRIJEDNO (10,6m/kom)</t>
  </si>
  <si>
    <t>High–Speed HDMI kabel s podrškom za 4K@30Hz (4:4:4) rezolucije, 24K pozlaćeni kontakti / konektori, konektor koji spriječava odspajanje (tehnologija "Pull–Resistant"), prijenos podataka 10,2 Gbps. Dužina kabela: 10,6m (+/-5%).</t>
  </si>
  <si>
    <t>4.19</t>
  </si>
  <si>
    <t xml:space="preserve">DOBAVA I POSTAVA - RAVNI KONSTRUKCIJSKI ELEMENT 3m </t>
  </si>
  <si>
    <t>SLJEDEĆIH KARAKTERISTIKA ILI JEDNAKOVRIJEDNO (kpl)</t>
  </si>
  <si>
    <t>Ravan segment, 2-točke, Sustav: F32 truss konstrukcija. Dužina: 3m. Razmak cijevi: 29 cm (vanjska mjera). Glavna cijev: Promjer 50 mm, debljina stijenke 2 mm. Ojačanja: Promjer 20 mm. Materijal:  EN AW-6082 T6. Certifikacija: TÜV testirano. Masa: 6,7 kg. Boja: crna. Uključuje: Set konusnih konektora (Quicklock), 4x navojnu šipku M8</t>
  </si>
  <si>
    <t>4.20</t>
  </si>
  <si>
    <t>DOBAVA I POSTAVA - SPOJNI ELEMENT ZA REŠETKASTU KONSTRUKCIJU</t>
  </si>
  <si>
    <t>Ravan segment, 2-točke, Sustav: F32 truss konstrukcija. Dužina: 3m. Razmak cijevi: 29 cm (vanjska mjera). Glavna cijev: Promjer 50 mm, debljina stijenke 2 mm. Ojačanja: Promjer 20 mm. Materijal:  EN AW-6082 T6. Certifikacija: TÜV testirano. Masa: 6,7 kg. Boja: crna. Uključuje: Set konusnih konektora (Quicklock), 4x navojnu šipku M8.</t>
  </si>
  <si>
    <t>4.21</t>
  </si>
  <si>
    <t>DOBAVA I POSTAVA - DMX AES/EBU KABEL SLJEDEĆIH</t>
  </si>
  <si>
    <t>KARAKTERISTIKA ILI JEDNAKOVRIJEDNO (1,5m/kom)</t>
  </si>
  <si>
    <t>DMX AES/EBU kabel s XLR muškim i XLR ženskim konektorom, izrađen od DMX32 kabela s karakterističnom impedancijom 110 Ohm. Vodiči – 24AWG tanki i gusto spleteni bakreni vodiči bez kisika; Konstrukcija – dva vodiča presjeka 0.23mm, dvostruko oklapanje aluminijskom folijom i pletenicom; Jakna – fleksibilni PVC; Vanjski promjer: 6.0mm. Duljina: 1.5m.</t>
  </si>
  <si>
    <t>REŽIJA</t>
  </si>
  <si>
    <t>5.1</t>
  </si>
  <si>
    <t xml:space="preserve">DOBAVA I POSTAVA - DVOSISTEMSKI ZVUČNIK </t>
  </si>
  <si>
    <t>Dvosistemski bas-refleks zvučnik sa pojačalima posebno za LF i posebno za HF driverima. Komponente: 5" woofer i 1" visokotonski driver. Frekvencijski odziv: 54Hz–30kHz(–10dB). Crossover: 2kHz. Ukupna snaga: 70W (LF 45W(4Ω) + HF 25W(8Ω)). Kontrole: LEVEL; HIGH TRIM (+/–2dB); ROOM CONTROL (0/–2/–4dB). Indikator: Power on – bijela LED. Ulazi: XLR3-31 (balansirani) i TRS 6,3mm (balansirani). Kućište: bass-refleks MDF. Dimenzije: 170×285×222mm. Težina: 5.3kg. Potrošnja: 45W.</t>
  </si>
  <si>
    <t>5.2</t>
  </si>
  <si>
    <t>DOBAVA I POSTAVA - PROFESIONALNI AUDIO MIXER</t>
  </si>
  <si>
    <t>Digitalna konzola za live i studio s 32 ulazna kanala, 8 AUX kanala i 8 FX povratnih kanala, 16 AUX sabirnica, 6 matrica i glavnom LRC sabirnicom. Efekti – 8 stereo i 16 mono internih efekata; 500 automatiziranih scena i 100 total recall scena. Obrada signala – 40-bit floating point; Pretvorba – A/D 24-bit 114dB(A), D/A 24-bit 120dB(A); Latencija – 0.8ms ulaz-izlaz, 1.1ms mrežna. Konektori – 16× Midas PRO XLR mikrofonskih ulaza, 1× XLR talkback, 2× RCA ulaza/izlaza, 8× XLR izlaza, 6× TRS ulaza i 6× TRS izlaza (balansirani), 2× monitor izlaza XLR/TRS, AES50×2, USB Type A/B, RJ45 ethernet. Ulazne karakteristike – THD+N &lt;0,01% (0dB), THD+N &lt;0,03% (+40dB); ulazna impedancija 10kΩ/10kΩ; maksimalni ulazni nivo +23dBu; fantomsko +48V; EIN −125dBu; CMRR &gt;70dB / &gt;90dB. Frekvencijski odziv – 20Hz–20kHz (0dB do −1dB @48kHz); Dinamički raspon – analogni ulaz-izlaz 106dB; A/D 109dB; D/A 109dB; Crosstalk odbacivanje 100dB @1kHz. Prikaz – 5" TFT ekran 800×480 i 128×64 LCD s RGB pozadinskim osvjetljenjem. Napajanje – auto-ranging 100–240VAC; potrošnja 70W. Dimenzije – 478×617×208mm; težina 14.3kg.</t>
  </si>
  <si>
    <t>5.3</t>
  </si>
  <si>
    <t>DOBAVA I POSTAVA - KONTROLER S APLIKACIJOM ZA</t>
  </si>
  <si>
    <t>UPRAVLJANJE SCENSKOM RASVJETOM</t>
  </si>
  <si>
    <t>DMX sučelje za softversku kontrolu rasvjete, samostalne aluminijske konstrukcije, kompatibilno s Windows i Mac OS X sustavima. Upravljanje jednim DMX univerzumom i dodatnim ArtNet univerzumom (ukupno 2). Podržano hot-swap povezivanje s automatskim ponovnim spajanjem. DMX kanali: 512 + 512 putem ArtNeta; Konektor: 3-pin XLR; Napajanje: 5V USB; Frekvencija osvježavanja DMX signala: 40Hz. Dimenzije: 74×35×35mm; težina 0.1kg. U kompletu: uređaj i USB kabel.</t>
  </si>
  <si>
    <t>5.4</t>
  </si>
  <si>
    <t>KARAKTERISTIKA ILI JEDNAKOVRIJEDNO (20m/kom)</t>
  </si>
  <si>
    <t>DMX AES/EBU kabel s XLR muškim i XLR ženskim konektorom, izrađen od DMX32 kabela s karakterističnom impedancijom 110 Ohm. Vodiči – 24AWG tanki i gusto spleteni bakreni vodiči bez kisika; Konstrukcija – dva vodiča presjeka 0.23mm, dvostruko oklapanje aluminijskom folijom i pletenicom; Jakna – fleksibilni PVC; Vanjski promjer: 6.0mm. Duljina: 20m.</t>
  </si>
  <si>
    <t>5.5</t>
  </si>
  <si>
    <t>DOBAVA I POSTAVA - 15" INTERAKTIVNI ZASLON</t>
  </si>
  <si>
    <t>EKRAN, SLJEDEĆIH KARAKTERISTIKA ILI JEDNAKOVRIJEDNO</t>
  </si>
  <si>
    <t>15.6" Full HD zaslon osjetljiv na dodir s 10 točaka projektivne kapacitivne tehnologije i IPS panelom. Rezolucija: 1920×1080; Omjer: 16:9; Osvjetljenje: 450cd/m² (385cd/m² s dodirom); Kontrast: 800:1; Kut gledanja: 170°×170°; Vrijeme odziva: 25ms. Staklo: 1.8mm, tvrdoća 6H, edge-to-edge dizajn. Dodir: prst, rukavica (latex), kapacitivni stylus; USB sučelje. Integrirani media player i SD utor. Ulazi: HDMI; 2×USB; audio ulaz 3.5mm. Zvučnici: 2×2W. Orijentacija: landscape / portrait / face-up. VESA: 100×100mm. Potrošnja: 7W; Napajanje: DC 12V (vanjsko). Dimenzije: 388×245×159.5mm; Težina: 2.6kg. U kompletu: USB i HDMI kabel, AC adapter, priručnici.</t>
  </si>
  <si>
    <t>ISPITIVANJE, USLUGA PUŠTANJA U RAD</t>
  </si>
  <si>
    <t xml:space="preserve">KOMPLET POTROŠNOG MATERIJALA I SPOJNOG </t>
  </si>
  <si>
    <t>PRIBORA (kpl)</t>
  </si>
  <si>
    <t>Komplet potrošnog materijala i pribora te spojnih kabela za dovođenje sustava do pune funkcionalnosti.</t>
  </si>
  <si>
    <t xml:space="preserve">ISPITIVANJE SUSTAVA, TERMINACIJA KABELA, SPAJANJE </t>
  </si>
  <si>
    <t xml:space="preserve">OPREME, PROGRAMIRANJE, IZRADA GUI SUČELJA, </t>
  </si>
  <si>
    <t xml:space="preserve">PODEŠAVANJE, PUŠTANJE U RAD, OBUKE KORISNIKA </t>
  </si>
  <si>
    <t>NA LOKACIJI (kpl)</t>
  </si>
  <si>
    <t>Ispitivanje sustava, terminacija kabela, spajanje aktivne opreme, programiranje sustava (GUI sučelja različitih dijelova multmedijalnog sustava, kreiranje zaštite od neovlaštenog pristupa GUI sučeljima - različita korisnička imena uz pripadajuće lozinke), završno podešavanje sustava uz jedan dodatni dolazak s rekonfiguracijiom sustava unutar 6 mjeseci od primopredaje, obuka korisnika (3-4 osobe, 3 sata), dokumentacija (izjave o sukladnosti, upustva na HR jeziku, jamstveni, zapisnik).</t>
  </si>
  <si>
    <t>6.3</t>
  </si>
  <si>
    <t>SUDJELOVANJE NA KOORDINACIJAMA</t>
  </si>
  <si>
    <t>I PRAĆENJU PROJEKTA</t>
  </si>
  <si>
    <t>Predviđeni trošak 2x koordinacija i odlazaka na gradilište.</t>
  </si>
  <si>
    <t>Napomene: 
Potrebno priložiti sljedeće:  
- dokaz o stručnoj osposobljenosti djelatnika za izvođenje - dokaz o visokoj stručnoj spremi (minimalno 2 djelatnika magistra inženjera iz struke), potvrda proizvođača opreme ili ovlaštenog zastupnika / distributera za područje RH, da je tvrtka i/ili njezini djelatnici osposobljena za sistemsku integraciju i implementaciju opreme. 
- izjavu ponuđača o jamstvenom roku ne manjem od 5 godina na cjelokupan sustav
- ISO certifikast 9001 upravljanje kvalitetom</t>
  </si>
  <si>
    <t>7.1</t>
  </si>
  <si>
    <t xml:space="preserve">DOBAVA I POSTAVA - FLEKSIBILNI FINOŽIČNI INSTALACIJSKI </t>
  </si>
  <si>
    <t>KABEL 2x 1,5mm² SLJEDEĆIH KARAKTERISTIKA</t>
  </si>
  <si>
    <t>ILI JEDNAKOVRIJEDNO (m)</t>
  </si>
  <si>
    <t>Zvučnički kabel s 2 vodiča (2 x 1.5 mm², 16 AWG), materijal vodiča: CCA (30 x 0.25 mm). Dvostruko izoliran, uvijeni vodiči, izolacija: PVC Ø 3.1 mm (crvena/plava). Vanjska ovojnica: fleksibilni PVC Ø 8.0 mm, boja: crna ili bijela. Električne karakteristike: maksimalna otpornost vodiča: 1.9 Ω/100 m; nazivni napon: 300 V; dielektrična čvrstoća: 1200 V/min. Temperaturni raspon: fiksna instalacija -15 °C do +80 °C, mobilna instalacija -5 °C do +80 °C. Standardi: EN60332-1-2; CPR Euroclass Eca; RoHS2.</t>
  </si>
  <si>
    <t>7.2</t>
  </si>
  <si>
    <t>DOBAVA I POSTAVA, FLEKSIBILNI FINOŽIČNI</t>
  </si>
  <si>
    <t>KARAKTERISTIKA ILI JEDNAKOVRIJEDNO (m)</t>
  </si>
  <si>
    <t>2-žilni instalacijski zvučnički kabeli usklađeni s Cca standardima. Otpornosti na vatru i zapaljivost u fiksnim instalacijama, minimizirajući otrovni dim i pružajući optimalnu otpornost na širenje vatre. Kabel se može koristiti u zatvorenim i vanjskim prostorima ili u vlažnim okruženjima. Unutarnji vodič 2x 4 mm²: BC 48 x 0,31 mm (Ø) (OFC); Izolacija: Poliolefin 4 mm (Ø); 11 AWG; Plašt: Poliolefin 10,2 mm (Ø); DC otpor: 4,95 (Ω/Km). CPR Euroclass: Cca-s1b,d0,a1.</t>
  </si>
  <si>
    <t>7.3</t>
  </si>
  <si>
    <t>KABEL 3x 1,5mm² SLJEDEĆIH KARAKTERISTIKA</t>
  </si>
  <si>
    <t>Instalacijski kabel; Standard: H05VV-F 3G1,5; Vodiči: 3x 1,5 mm² (16 AWG); Materijal vodiča: bakreni vodiči (48 x 0,2 mm); Izolacija vodiča: PVC, promjer 3 mm; Boje vodiča: Plava, smeđa, žuto-zelena; Vanjska ovojnica: Fleksibilan PVC, promjer 8 mm; Nazivni napon: 300 V; Maksimalna struja: 16 A; Otpornost vodiča: 1,2 Ω / 100 m; Temperaturni raspon: Fiksna instalacija: -40 °C do +80 °C, Mobilna instalacija: -25 °C do +60 °C; Minimalni radijus savijanja: 8x vanjski promjer kabela.</t>
  </si>
  <si>
    <t>7.4</t>
  </si>
  <si>
    <t xml:space="preserve">DOBAVA I POSTAVA - OKLOPLJEN MREŽNI CAT6 S/FTP LAN </t>
  </si>
  <si>
    <t xml:space="preserve">LSOH KABEL SLJEDEĆIH KARAKTERISTIKA ILI </t>
  </si>
  <si>
    <t>JEDNAKOVRIJEDNO (m)</t>
  </si>
  <si>
    <t>Kabel se primjenjuje u strukturiranim lokalnim mrežama klase E za prijenos podataka i glasa visoke brzine. Normiran je za primjenu do 250 MHz; Vodič: bakar (goli, jednožični/puni), promjer 0,56 mm, AWG23; Izolacija: polietilen (PE), vanjski promjer 1,4 mm, po dva vodiča uvijena u parice; Zaslon parica: (oko jedne ili dvije parice) aluminij-laminirana plastična folija; Zajednički zaslon: oplet od bakrenih žica; Plašt: vanjski promjer 7,4 - 8,2 mm; Otpornost prema gorenju: IEC 60332-1.</t>
  </si>
  <si>
    <t>7.5</t>
  </si>
  <si>
    <t>KABEL 5x 0,75mm² SLJEDEĆIH KARAKTERISTIKA</t>
  </si>
  <si>
    <t>Instalacijski kabel – Vodič: bakar, goli, finožični, klasa 5; Konstrukcija vodiča: 24×0,20mm; Presjek: 5×0,75mm²; Izolacija: PVC TI2, debljina 0,6mm; Plašt: PVC TM2, debljina 0,9mm; Vanjski promjer: 7,4–9,3mm; Nazivni napon: 300/500V; Ispitni napon: 2000V; Otpor vodiča: 26Ω/km (20°C); Specifična otpornost izolacije: 0,011MΩkm (70°C); Minimalni radijus savijanja: 4D (D&lt;8mm), 5D (8–12mm); Temperaturni raspon: fiksno -30°C do +70°C, savijanje +5°C do +70°C; Kratki spoj (5s): 150°C; Otpornost prema gorenju: IEC/EN 60332-1, VDE 0482-332-1; Reakcija na vatru: CPR Eca.</t>
  </si>
  <si>
    <t>7.6</t>
  </si>
  <si>
    <t xml:space="preserve">DOBAVA I POSTAVA - INSTALACIJSKI BALANSIRANI </t>
  </si>
  <si>
    <t xml:space="preserve">MIC/LINE AUDIO KABEL SLJEDEĆIH KARAKTERISTIKA ILI </t>
  </si>
  <si>
    <t>Visokokvalitetni mikrofonski kabel sa dva izolirana i upletena vodiča od 0,23 mm²; 24 AWG; Vodič:BC 20 x 0.12 mm (Ø)(OFC); Impedancija: 95Ω ± 1Ω; Materijal izolacije: LDPE 1,4 mm (Ø); Vanjski plašt: fleksibilni PVC 6 mm (Ø).</t>
  </si>
  <si>
    <t>7.7</t>
  </si>
  <si>
    <t xml:space="preserve">DOBAVA I POSTAVA - BEZHALOGENI VATRODOJAVNI E30 </t>
  </si>
  <si>
    <t>SLJEDEĆIH KARAKTERISTIKA ILI JEDNAKOVRIJEDNO (m)</t>
  </si>
  <si>
    <t>Vodič: bakreni goli vodič punog presjeka, promjera 0,8 mm (2x2x0,8); Izolacija: umreženi polimer bez halogena, po dva vodiča uvijena su u paricu, svake četiri parice použene su u svežanj, a svežnjevi su použeni u slojeve; Separator: PEPT - plastična traka od poli (etilen/propilena); Elektrostatički zaslon (St): aluminij-laminirana poliesterska traka i pokositreni bakreni kontaktni vodič promjera 0,8 mm (presjeka 0,5 mm²); Plašt: umreženi (unakrsno povezani) termoplastični poliolefinski spoj bez halogena; Otpor petlje pri 20°C: maks. 73,2 Ω/km; Otpornost izolacije: min. 100 MΩxkm; Induktivnost: oko 0,65 mH/km; Samogasivost: IEC 60332-1; Bezhalogenost: IEC 60754-1. Očuvanje električne funkcije sustava u požaru: E30</t>
  </si>
  <si>
    <t>7.8</t>
  </si>
  <si>
    <t>Dobava, montaža i spajanje matični sat
- za dvije satne grupe
- čuvanje vremena u slučaju nestanka napajanja
- 24V impuls za sporedne satove
- integrirani punjač akumulatora
- za smještaj u rack ormar</t>
  </si>
  <si>
    <t>7.9</t>
  </si>
  <si>
    <t>Dobava, montaža i spajanje  analogni sat
- dvostrani
- promjer 40cm
- zidna ili stropna montaža</t>
  </si>
  <si>
    <t>7.10</t>
  </si>
  <si>
    <t>Dobava, montaža i spajanje GPS prijemnik
- točnost 100ns
- IP66
- zaštita od požara UL94-HB
- spajanje na matični sat</t>
  </si>
  <si>
    <t>7.11</t>
  </si>
  <si>
    <t>Dobava i polaganje instalacije za multimediju NHXH-J 3x1,5, dijelom u PK kanale i dijelom podžbukno u instalacijske cijevi
 - predvidjeti rad na većim visinama te potreban alat (skela)</t>
  </si>
  <si>
    <t>7.12</t>
  </si>
  <si>
    <t>7.13</t>
  </si>
  <si>
    <t>8.1</t>
  </si>
  <si>
    <t>Izrada projektne dokumentacije izvedenog stanja sustava multimedije i ozvučenja sa blok shemom i pozicijom elemenata dva(2) primjerka u pisanom obliku i u digitalnom formatu</t>
  </si>
  <si>
    <t>MULTIMEDIJA I OZVUČENJE UKUPNO:</t>
  </si>
  <si>
    <t xml:space="preserve">Dobava i postavljanje okomite zaštite, gola, VZ Rf (nehrđajući čelik) 1,5 m
</t>
  </si>
  <si>
    <t>Dobava i postavljanje nosača Rf za okomitu zaštitu, vijak 50 mm</t>
  </si>
  <si>
    <t xml:space="preserve">Dobava i spajanje spone za povezivanje okruglih i plosnatih gromobranskih vodiča, MJERNA SP.3X58 RF-V, 8-10 mm / 30x3.5 mm
</t>
  </si>
  <si>
    <t>Dobava i postavljanje oznaka mjernih spojeva MS 20X48 Rf-V 8-10 mm</t>
  </si>
  <si>
    <t>Dobava i montaža zidnog nosača 8-10 mm zidni nosač- vijak 50 mm</t>
  </si>
  <si>
    <t>Dobava i montaža nosača za atiku Rf-V 8-10 mm</t>
  </si>
  <si>
    <t>Dobava i montaža krovnog, sljemenskog nosača, u kompletu s brtvom i vijkom, za gromobranski vodič AH1 Al 8 8 mm</t>
  </si>
  <si>
    <t>Isporuka i ugradnja krovnog nosača za pričvršćivanje gromobranskog vodiča AH1 Al fi 8 mm na ravne krovove (mali nagib) različitih tipova pokrova. Nosač se puni zrnatim materijalom.</t>
  </si>
  <si>
    <t>Isporuka i ugradnja spone od nehrđajućeg čelika za međusobno povezivanje okruglih gromobranskih vodiča.</t>
  </si>
  <si>
    <t>Isporuka i ugradnja kontaktne spone od nehrđajućeg čelika za izradu kontaktnih spojeva između AH1 Al fi 8 mm gromobrana i dijelova lima.</t>
  </si>
  <si>
    <t xml:space="preserve">Dobava i spajanje kontaktne spone za povezivanje gromobranskog vodiča i žljeba ŽLJEBNA SP.48X85 Rf-V 8-10 mm
</t>
  </si>
  <si>
    <t>Dobava i montaža podnog mjernog ormarića PVC 225x125x100 mm (dxšxv), ormarić i poklopac izrađeni od umjetnih materijala postojanih u atmosferi (PVC)</t>
  </si>
  <si>
    <t>Nabava i ugradnja gromobranskog vodiča AH1 Al 8 8 mm na standardne gromobranske elemente.</t>
  </si>
  <si>
    <t>Isporuka i ugradnja RH1 ravnog vodiča 30x3,5 mm izrađenog od nehrđajućeg čelika 30x3,5 mm za uzemljenje</t>
  </si>
  <si>
    <t>Dobava i montaža zidnog nosača za traku</t>
  </si>
  <si>
    <t>Ukopavanje trake oko objekta od RH1 ravnog vodiča izrađenog od nehrđajućeg čelika 30x3,5 mm za uzemljenje. Stavka uključuje iskop i zatrpavanje rova te isporuku, polaganje i spajanje trake za uzemljenje. Obračun po m.</t>
  </si>
  <si>
    <t>Nabava i ugradnja spone od inoxa za spojeve između ravnih gromobranskih vodiča</t>
  </si>
  <si>
    <t>Isporuka i ugradnja lovećeg štapa visine h = 4,0m, uključujući pričvrsni komplet</t>
  </si>
  <si>
    <t>Dobava i spajanje spojnice od nehrđajućeg čelika za povezivanje okruglog gromobranskog vodiča i lovne šipke</t>
  </si>
  <si>
    <t xml:space="preserve">Dobava i spajanje premosnog kabela 16mm2 Cu, dužine 150 mm, za povezivanje metalnih dijelova i izjednačavanje potencijala (metalne mase: vrata, prozori, metalna potkonstrukcija fasade, ograde...), u skladu s normom HRN EN 62305-3
</t>
  </si>
  <si>
    <t>Ispitivanje gromobranske instalacije dograđenog i postojećeg djela s izdavanjem izvještaja i protokola mjerenja.</t>
  </si>
  <si>
    <t>GROMOBRANSKA INSTALACIJA UKUPNO:</t>
  </si>
  <si>
    <t>Demontaža postojeće instalacije jake i slabe struje i zbrinjavanje demontiranog materijala i opreme djelomično na gradski deponij, a dio (tj. ispravnu opremu npr. svjetiljke i sl.)  na mjesto gdje odredi predstavnik Investitora.</t>
  </si>
  <si>
    <t>sat</t>
  </si>
  <si>
    <t>Građevinska pripomoć prilikom izvođenja el. Instalacija:</t>
  </si>
  <si>
    <t xml:space="preserve"> - Dubljenje šlica (90 % strojno frezanje, 10% štemanje) za polaganje do 2 kabela ili CS cijevi.</t>
  </si>
  <si>
    <t xml:space="preserve"> - Dubljenje šlica (90 % strojno frezanje, 10% štemanje) za polaganje 3-5 kabela ili CS cijevi.</t>
  </si>
  <si>
    <t xml:space="preserve"> - Izrada proboja kroz pune zidove Φ5-10 cm debljine od 25 do 80 cm za prolaz instalacija, (proboji manji od 25 cm se posebno ne obračunavaju).</t>
  </si>
  <si>
    <t xml:space="preserve"> 
- Izrada vertikalnih proboja Φ5-10 cm kroz deku za prolaz instalacija.</t>
  </si>
  <si>
    <t xml:space="preserve">
 - izrada proboja u zidu za prolaz kabela do 40x20 cm.</t>
  </si>
  <si>
    <t>Određivanje i obilježavanje trase kabela za vanjske instalacije temeljem nacrta i situacije na terenu (iskolčenje).</t>
  </si>
  <si>
    <t>Iskop rova za polaganje zaštitnih cijevi i kabela, širina rova min. 0,4 m, dubina rova min. 0,8 m u tlu tvrdoće "A" (meko, zemlja).</t>
  </si>
  <si>
    <t>Dobava pijeska 0-4 mm i zasipavanje oko kabela 10+10 cm (ispod/iznad kabela).</t>
  </si>
  <si>
    <t>Dobava, polaganje i spajanje RH1 ravnog vodiča izrađenog od nehrđajućeg čelika 30x3,5 mm za uzemljenje.</t>
  </si>
  <si>
    <t>Dobava i polaganje PEHD/RDC zaštitne cijevi:</t>
  </si>
  <si>
    <t xml:space="preserve"> - RDC fi 110</t>
  </si>
  <si>
    <t>Zaštita na mjestu križanja s ostalim instalacijama - provlačenje energetskog kabela kroz betonske cijevi  fi=200mm, u dužini od cca 2m.</t>
  </si>
  <si>
    <t>Dobava i postavljanje crvene plastične trake upozorenja "POZOR - ENERGETSKI KABEL" u rovu iznad kabela.</t>
  </si>
  <si>
    <t>Zatrpavanje kabelskog rova sitnim materijalom iz iskopa uz nabijanje u slojevima i vraćanje u prvobitno stanje.
Obračun po m³ u zbijenom stanju.</t>
  </si>
  <si>
    <t>Izrada geodetskog snimka kabelske kanalizacije u otvorenom rovu i geodetskog elaborata za katastar instalacija, 3 x na papiru i CDu (u dwg formatu).</t>
  </si>
  <si>
    <t>Sitni spojni materijal i pribor, vijci, tiple, gips, razvodne kutije, prolazne kutije, obujmice za izjednačenje potencijala i ostalo, potrebno za dovođenje elektroinstalacija  u potpuno funkcionalno stanje.</t>
  </si>
  <si>
    <t>Razni elektro radovi za koje se može pojaviti potreba tijekom izvođenja elektroinstalacija.</t>
  </si>
  <si>
    <t xml:space="preserve"> - NKV</t>
  </si>
  <si>
    <t xml:space="preserve"> - VKV</t>
  </si>
  <si>
    <t>Izmjene i dopune dokumentacije, izrada tehničkih rješenja, unošenje eventualnih izmjena i dopuna tokom izvedbe u projektnu dokumentaciju, od strane ovlaštenog inženjera elektrotehnike.
Sati ovlaštenog inženjera - projektanta (VKV).</t>
  </si>
  <si>
    <t>Izrada dokumentacije izvedenog stanja, umnažanje u 3 primjerka na papiru i digitalno na CDu (acad + pdf) i predaja investitoru. Dokumentacija treba sadržavati:
 - tlocrte elektroinstalacija s oznakama strujnih krugova
 - jednopolne sheme razvodnih ormara s oznakama strujnih krugova, rednih stezaljki i kabela
 - upute za rukovanje, kataloge ugrađene opreme, upute za održavanje
 - sheme razvoda instalacija.</t>
  </si>
  <si>
    <t>Ispitivanje elektroinstalacija jake struje i izdavanje atesta u 2 primjerka po niže navedenim stavkama:
- vizualni pregled, 
- funkcionalno ispitivanje,
- otpor izolacije, 
- funkcionalnost zaštite od indirektnog napona dodira, 
- neprekinutosti zaštitnog vodiča, povezanosti svih metalnih masa i izjednačenju potencijala, 
- rasvijetljenosti, 
- funkcionalnosti nužne rasvjete, 
- funkcionalnosti glavne sklopke, 
- podešenosti nadstrujnih elemenata (pumpe i sl).</t>
  </si>
  <si>
    <t>A/</t>
  </si>
  <si>
    <t>B/</t>
  </si>
  <si>
    <t>C/</t>
  </si>
  <si>
    <t>D/</t>
  </si>
  <si>
    <t>E/</t>
  </si>
  <si>
    <t>F/</t>
  </si>
  <si>
    <t>G/</t>
  </si>
  <si>
    <t>H/</t>
  </si>
  <si>
    <t>I/</t>
  </si>
  <si>
    <t>J/</t>
  </si>
  <si>
    <t>K/</t>
  </si>
  <si>
    <r>
      <t xml:space="preserve">Dobava, montaža i spajanje razvodnog ormara, oznake </t>
    </r>
    <r>
      <rPr>
        <b/>
        <sz val="11"/>
        <rFont val="Calibri"/>
        <family val="2"/>
        <charset val="238"/>
        <scheme val="minor"/>
      </rPr>
      <t>GRO</t>
    </r>
    <r>
      <rPr>
        <sz val="11"/>
        <rFont val="Calibri"/>
        <family val="2"/>
        <charset val="238"/>
        <scheme val="minor"/>
      </rPr>
      <t>, izrađen od čeličnog lima sa montažnom pločom, vratima i bravom. Označenim prema propisima sa ugrađenom opremom:</t>
    </r>
  </si>
  <si>
    <r>
      <t xml:space="preserve">Dobava, montaža i spajanje razvodnog ormara, oznake </t>
    </r>
    <r>
      <rPr>
        <b/>
        <sz val="11"/>
        <rFont val="Calibri"/>
        <family val="2"/>
        <charset val="238"/>
        <scheme val="minor"/>
      </rPr>
      <t>RO-1 ,</t>
    </r>
    <r>
      <rPr>
        <sz val="11"/>
        <rFont val="Calibri"/>
        <family val="2"/>
        <charset val="238"/>
        <scheme val="minor"/>
      </rPr>
      <t xml:space="preserve"> sa metalnim vratima i bravom. Označenim prema propisima sa ugrađenom opremom:</t>
    </r>
  </si>
  <si>
    <r>
      <t xml:space="preserve">Dobava, montaža i spajanje razvodnog ormara, oznake </t>
    </r>
    <r>
      <rPr>
        <b/>
        <sz val="11"/>
        <rFont val="Calibri"/>
        <family val="2"/>
        <charset val="238"/>
        <scheme val="minor"/>
      </rPr>
      <t>RO-2 ,</t>
    </r>
    <r>
      <rPr>
        <sz val="11"/>
        <rFont val="Calibri"/>
        <family val="2"/>
        <charset val="238"/>
        <scheme val="minor"/>
      </rPr>
      <t xml:space="preserve"> sa metalnim vratima i bravom. Označenim prema propisima sa ugrađenom opremom:</t>
    </r>
  </si>
  <si>
    <r>
      <t>Dobava, montaža i spajanje stropne ugradne svjetiljke s direktnom svjetlosnom distribucijom. Bijela boja ugradnog prstena. Bez UV i toplinskog zračenja. Aluminijski reflektor u istoj boji. DALI predspojna naprava. LED izvor svjetlosti, snaga sustava 9.5W, temperatura boje 3000K, uzvrat boje CRI80, faktor blještanja UGR≤16, snop svjetlosti 67°. Stupanj mehaničke zaštite IP20. Sa svim potrebnim priborom, priključnim materijalom i elementima. Oznaka u projektu "</t>
    </r>
    <r>
      <rPr>
        <b/>
        <sz val="11"/>
        <rFont val="Calibri"/>
        <family val="2"/>
        <charset val="238"/>
        <scheme val="minor"/>
      </rPr>
      <t>S1</t>
    </r>
    <r>
      <rPr>
        <sz val="11"/>
        <rFont val="Calibri"/>
        <family val="2"/>
        <charset val="238"/>
        <scheme val="minor"/>
      </rPr>
      <t>".</t>
    </r>
  </si>
  <si>
    <r>
      <t>Dobava, montaža i spajanje zidne nadgradne svjetiljke s direktno indirektnom svjetlosnom distribucijom. Ovalni rubovi kućišta izrađenog od aluminija bijele boje. DALI predspojna naprava. LED izvor svjetlosti, snaga 2x3.9W, snaga sustava 9.18W, temperatura boje 3000K, uzvrat boje CRI&gt;90, snop svjetlosti 2x57°. Stupanj mehaničke zaštite IP40IK08. Dozvoljena ambijentalna temperatura -20 °C ÷ +35 °C. Sa svim potrebnim priborom, priključnim materijalom i elementima. Oznaka u projektu "</t>
    </r>
    <r>
      <rPr>
        <b/>
        <sz val="11"/>
        <rFont val="Calibri"/>
        <family val="2"/>
        <charset val="238"/>
        <scheme val="minor"/>
      </rPr>
      <t>S2</t>
    </r>
    <r>
      <rPr>
        <sz val="11"/>
        <rFont val="Calibri"/>
        <family val="2"/>
        <charset val="238"/>
        <scheme val="minor"/>
      </rPr>
      <t>".</t>
    </r>
  </si>
  <si>
    <r>
      <t>Dobava, montaža i spajanje stropne ugradne svjetiljke s direktnom svjetlosnom distribucijom. Bijela boja ugradnog prstena i konusnog uvučenog reflektora. Bez UV i toplinskog zračenja. LED izvor svjetlosti, snaga sustava 13.3W, temperatura boje 3000K, uzvrat boje CRI80, faktor blještanja UGR≤16, snop svjetlosti 50°. Stupanj mehaničke zaštite IP44. Sa svim potrebnim priborom, priključnim materijalom i elementima. Oznaka u projektu "</t>
    </r>
    <r>
      <rPr>
        <b/>
        <sz val="11"/>
        <rFont val="Calibri"/>
        <family val="2"/>
        <charset val="238"/>
        <scheme val="minor"/>
      </rPr>
      <t>S3</t>
    </r>
    <r>
      <rPr>
        <sz val="11"/>
        <rFont val="Calibri"/>
        <family val="2"/>
        <charset val="238"/>
        <scheme val="minor"/>
      </rPr>
      <t>".</t>
    </r>
  </si>
  <si>
    <r>
      <t>Dobava, montaža i spajanje nazidne svjetiljke s direktno indirektnom svjetlosnom distribucijom. LED izvor svjetlosti, snaga sustava 9W, temperatura boje 3000K, uzvrat boje CRI80, konzistentnost boje 3SDCM. Stupanj mehaničke zaštite IP44IK02. Sa svim potrebnim priborom, priključnim materijalom i elementima. Oznaka u projektu "</t>
    </r>
    <r>
      <rPr>
        <b/>
        <sz val="11"/>
        <rFont val="Calibri"/>
        <family val="2"/>
        <charset val="238"/>
        <scheme val="minor"/>
      </rPr>
      <t>S4</t>
    </r>
    <r>
      <rPr>
        <sz val="11"/>
        <rFont val="Calibri"/>
        <family val="2"/>
        <charset val="238"/>
        <scheme val="minor"/>
      </rPr>
      <t xml:space="preserve">".
</t>
    </r>
  </si>
  <si>
    <r>
      <t>Dobava, montaža i spajanje nazidne svjetiljke s direktno indirektnom svjetlosnom distribucijom. LED izvor svjetlosti, snaga sustava 18W, temperatura boje 3000K, uzvrat boje CRI80, konzistentnost boje 3SDCM. Stupanj mehaničke zaštite IP44IK02. Sa svim potrebnim priborom, priključnim materijalom i elementima. Oznaka u projektu "</t>
    </r>
    <r>
      <rPr>
        <b/>
        <sz val="11"/>
        <rFont val="Calibri"/>
        <family val="2"/>
        <charset val="238"/>
        <scheme val="minor"/>
      </rPr>
      <t>S4a</t>
    </r>
    <r>
      <rPr>
        <sz val="11"/>
        <rFont val="Calibri"/>
        <family val="2"/>
        <charset val="238"/>
        <scheme val="minor"/>
      </rPr>
      <t xml:space="preserve">".
</t>
    </r>
  </si>
  <si>
    <r>
      <t>Dobava, montaža i spajanje stropne ugradne svjetiljke s direktnom svjetlosnom distribucijom. Bijela boja ugradnog prstena. Bez UV i toplinskog zračenja. Aluminijski reflektor u bijeloj boji. DALI predspojna naprava. LED izvor svjetlosti, snaga sustava 19.3W, temperatura boje 3000K, uzvrat boje CRI80, faktor blještanja UGR≤19, snop svjetlosti 67°. Stupanj mehaničke zaštite IP20. Sa svim potrebnim priborom, priključnim materijalom i elementima. Oznaka u projektu "</t>
    </r>
    <r>
      <rPr>
        <b/>
        <sz val="11"/>
        <rFont val="Calibri"/>
        <family val="2"/>
        <charset val="238"/>
        <scheme val="minor"/>
      </rPr>
      <t>S5</t>
    </r>
    <r>
      <rPr>
        <sz val="11"/>
        <rFont val="Calibri"/>
        <family val="2"/>
        <charset val="238"/>
        <scheme val="minor"/>
      </rPr>
      <t>".</t>
    </r>
  </si>
  <si>
    <r>
      <t>Dobava, montaža i spajanje nadgradne stropne svjetiljke bijele boje s direktnom svjetlosnom distribucijom snopa svjetlosti širine 55 stupnjeva. LED izvor svjetlosti snage sustava 15W, temperatura boje 3000K, uzvrat boje CRI 80. Stupanj mehaničke zaštite IP54. Sa svim potrebnim priborom, priključnim materijalom i elementima. Oznaka u projektu "</t>
    </r>
    <r>
      <rPr>
        <b/>
        <sz val="11"/>
        <rFont val="Calibri"/>
        <family val="2"/>
        <charset val="238"/>
        <scheme val="minor"/>
      </rPr>
      <t>S6</t>
    </r>
    <r>
      <rPr>
        <sz val="11"/>
        <rFont val="Calibri"/>
        <family val="2"/>
        <charset val="238"/>
        <scheme val="minor"/>
      </rPr>
      <t>".</t>
    </r>
  </si>
  <si>
    <r>
      <t>Dobava, montaža i spajanje stropne ugradne svjetiljke s direktnom svjetlosnom distribucijom. Svjetiljka za sportske dvorane otporna na udarce loptom. LED izvor svjetlosti, snaga sustava 34W, temperatura boje 4000K, uzvrat boje CRI≥80, faktor blještanja UGR18.7. Stupanj mehaničke zaštite IP40IK10. Sa svim potrebnim priborom, priključnim materijalom i elementima. Oznaka u projektu "</t>
    </r>
    <r>
      <rPr>
        <b/>
        <sz val="11"/>
        <rFont val="Calibri"/>
        <family val="2"/>
        <charset val="238"/>
        <scheme val="minor"/>
      </rPr>
      <t>S7</t>
    </r>
    <r>
      <rPr>
        <sz val="11"/>
        <rFont val="Calibri"/>
        <family val="2"/>
        <charset val="238"/>
        <scheme val="minor"/>
      </rPr>
      <t>".</t>
    </r>
  </si>
  <si>
    <r>
      <t>Dobava, montaža i spajanje stropne nadgradne svjetiljke s direktnom simetričnom svjetlosnom distribucijom. LED izvor svjetlosti, snaga sustava podesiva od 20-35W, projektirano 20W, temperatura boje podesiva od 4000K, uzvrat boje Ra≥80, HACCP certifikat, prolazno ožičenje. Stupanj mehaničke zaštite IP65. Zaštita od mehaničkih utjecaja minimalno IK08. Sa svim potrebnim priborom, priključnim materijalom i elementima. Oznaka u projektu "</t>
    </r>
    <r>
      <rPr>
        <b/>
        <sz val="11"/>
        <rFont val="Calibri"/>
        <family val="2"/>
        <charset val="238"/>
        <scheme val="minor"/>
      </rPr>
      <t>S8</t>
    </r>
    <r>
      <rPr>
        <sz val="11"/>
        <rFont val="Calibri"/>
        <family val="2"/>
        <charset val="238"/>
        <scheme val="minor"/>
      </rPr>
      <t>".</t>
    </r>
  </si>
  <si>
    <r>
      <t>Dobava, montaža i spajanje stropne nadgradne svjetiljke s direktnom asimetričnom svjetlosnom distribucijom. LED izvor svjetlosti, snaga sustava 36W, temperatura boje 4000K, uzvrat boje Ra≥80. Stupanj mehaničke zaštite IP20IK02. Sa svim potrebnim priborom, priključnim materijalom i elementima. Oznaka u projektu "</t>
    </r>
    <r>
      <rPr>
        <b/>
        <sz val="11"/>
        <rFont val="Calibri"/>
        <family val="2"/>
        <charset val="238"/>
        <scheme val="minor"/>
      </rPr>
      <t>S9</t>
    </r>
    <r>
      <rPr>
        <sz val="11"/>
        <rFont val="Calibri"/>
        <family val="2"/>
        <charset val="238"/>
        <scheme val="minor"/>
      </rPr>
      <t>".</t>
    </r>
  </si>
  <si>
    <r>
      <t>Dobava, montaža i spajanje stropne ovjesne svjetiljke s direktno indirektnom simetričnom svjetlosnom distribucijom. LED izvor svjetlosti, snaga sustava podesiva od 21-37W, temperatura boje 4000K, uzvrat boje Ra≥80. Stupanj mehaničke zaštite IP20IK03. Sa svim potrebnim priborom, priključnim materijalom i elementima. Oznaka u projektu "</t>
    </r>
    <r>
      <rPr>
        <b/>
        <sz val="11"/>
        <rFont val="Calibri"/>
        <family val="2"/>
        <charset val="238"/>
        <scheme val="minor"/>
      </rPr>
      <t>S10</t>
    </r>
    <r>
      <rPr>
        <sz val="11"/>
        <rFont val="Calibri"/>
        <family val="2"/>
        <charset val="238"/>
        <scheme val="minor"/>
      </rPr>
      <t>".</t>
    </r>
  </si>
  <si>
    <r>
      <t>Dobava, montaža i spajanje nazidne svjetiljke s asimetričnom svjetlosnom distribucijom za vanjsku montažu i protupaničnim modulom autonomije 3h. LED izvor svjetlosti 20W, temperatura boje 3000K, uzvrat boje CRI80. Stupanj mehaničke zaštite IP65IK07.  Sa svim potrebnim priborom, priključnim materijalom i elementima. Oznaka u projektu "</t>
    </r>
    <r>
      <rPr>
        <b/>
        <sz val="11"/>
        <rFont val="Calibri"/>
        <family val="2"/>
        <charset val="238"/>
        <scheme val="minor"/>
      </rPr>
      <t>V1</t>
    </r>
    <r>
      <rPr>
        <sz val="11"/>
        <rFont val="Calibri"/>
        <family val="2"/>
        <charset val="238"/>
        <scheme val="minor"/>
      </rPr>
      <t xml:space="preserve">".
</t>
    </r>
  </si>
  <si>
    <r>
      <t>Dobava, montaža i spajanje nazidne protupanične svjetiljke s jednostranim printanim piktogramom "DOLJE". LED izvor svjetlosti, snaga izvora 2W, 3h autonomije, stupanj mehaničke zaštite IP40IK08. Svjetiljka sa funkcijom autotesta. Sa svim potrebnim priborom, priključnim materijalom i elementima. Oznaka u projektu "</t>
    </r>
    <r>
      <rPr>
        <b/>
        <sz val="11"/>
        <rFont val="Calibri"/>
        <family val="2"/>
        <charset val="238"/>
        <scheme val="minor"/>
      </rPr>
      <t>P1z</t>
    </r>
    <r>
      <rPr>
        <sz val="11"/>
        <rFont val="Calibri"/>
        <family val="2"/>
        <charset val="238"/>
        <scheme val="minor"/>
      </rPr>
      <t xml:space="preserve">".
</t>
    </r>
  </si>
  <si>
    <r>
      <t>Dobava, montaža i spajanje stropne ugradne protupanične svjetiljke s jednostranim printanim piktogramom "DOLJE". LED izvor svjetlosti, snaga izvora 2W, 3h autonomije, stupanj mehaničke zaštite IP40IK08. Svjetiljka sa funkcijom autotesta. Sa svim potrebnim priborom, priključnim materijalom i elementima. Oznaka u projektu "</t>
    </r>
    <r>
      <rPr>
        <b/>
        <sz val="11"/>
        <rFont val="Calibri"/>
        <family val="2"/>
        <charset val="238"/>
        <scheme val="minor"/>
      </rPr>
      <t>P2u</t>
    </r>
    <r>
      <rPr>
        <sz val="11"/>
        <rFont val="Calibri"/>
        <family val="2"/>
        <charset val="238"/>
        <scheme val="minor"/>
      </rPr>
      <t xml:space="preserve">".
</t>
    </r>
  </si>
  <si>
    <r>
      <t>Dobava, montaža i spajanje ugradne stropne sigurnosne svjetiljke optikom za evakuacijske površine. LED izvor svjetlosti, snaga izvora 1W, 3h autonomije, autotest funkcija stupanj mehaničke zaštite IP20IK07.  Sa svim potrebnim priborom, priključnim materijalom i elementima. Oznaka u projektu "</t>
    </r>
    <r>
      <rPr>
        <b/>
        <sz val="11"/>
        <rFont val="Calibri"/>
        <family val="2"/>
        <charset val="238"/>
        <scheme val="minor"/>
      </rPr>
      <t>P3U</t>
    </r>
    <r>
      <rPr>
        <sz val="11"/>
        <rFont val="Calibri"/>
        <family val="2"/>
        <charset val="238"/>
        <scheme val="minor"/>
      </rPr>
      <t xml:space="preserve">".
</t>
    </r>
  </si>
  <si>
    <r>
      <t>Dobava, montaža i spajanje ugradne stropne sigurnosne svjetiljke optikom za evakuacijske puteve. LED izvor svjetlosti, snaga izvora 1W, 3h autonomije, autotest funkcija stupanj mehaničke zaštite IP20IK07.  Sa svim potrebnim priborom, priključnim materijalom i elementima. Oznaka u projektu "</t>
    </r>
    <r>
      <rPr>
        <b/>
        <sz val="11"/>
        <rFont val="Calibri"/>
        <family val="2"/>
        <charset val="238"/>
        <scheme val="minor"/>
      </rPr>
      <t>P4U</t>
    </r>
    <r>
      <rPr>
        <sz val="11"/>
        <rFont val="Calibri"/>
        <family val="2"/>
        <charset val="238"/>
        <scheme val="minor"/>
      </rPr>
      <t xml:space="preserve">".
</t>
    </r>
  </si>
  <si>
    <r>
      <t>Dobava, montaža i spajanje nadgradne stropne sigurnosne svjetiljke optikom za evakuacijske površine. LED izvor svjetlosti, snaga izvora 1W, 3h autonomije, autotest funkcija, stupanj mehaničke zaštite IP20IK06.  Sa svim potrebnim priborom, priključnim materijalom i elementima. Oznaka u projektu "</t>
    </r>
    <r>
      <rPr>
        <b/>
        <sz val="11"/>
        <rFont val="Calibri"/>
        <family val="2"/>
        <charset val="238"/>
        <scheme val="minor"/>
      </rPr>
      <t>P5N</t>
    </r>
    <r>
      <rPr>
        <sz val="11"/>
        <rFont val="Calibri"/>
        <family val="2"/>
        <charset val="238"/>
        <scheme val="minor"/>
      </rPr>
      <t xml:space="preserve">".
</t>
    </r>
  </si>
  <si>
    <r>
      <t xml:space="preserve">karakteristika ili jednakovrijedno </t>
    </r>
    <r>
      <rPr>
        <b/>
        <sz val="11"/>
        <rFont val="Calibri"/>
        <family val="2"/>
        <charset val="238"/>
        <scheme val="minor"/>
      </rPr>
      <t>(kom) 1</t>
    </r>
  </si>
  <si>
    <r>
      <t xml:space="preserve">sljedećih karakteristika ili jednakovrijedno </t>
    </r>
    <r>
      <rPr>
        <b/>
        <sz val="11"/>
        <rFont val="Calibri"/>
        <family val="2"/>
        <charset val="238"/>
        <scheme val="minor"/>
      </rPr>
      <t>(kom) 1</t>
    </r>
  </si>
  <si>
    <r>
      <t>sljedećih karakteristika ili jednakovrijedno</t>
    </r>
    <r>
      <rPr>
        <b/>
        <sz val="11"/>
        <rFont val="Calibri"/>
        <family val="2"/>
        <charset val="238"/>
        <scheme val="minor"/>
      </rPr>
      <t xml:space="preserve"> (kom) 2</t>
    </r>
  </si>
  <si>
    <r>
      <t xml:space="preserve">sljedećih karakteristika ili jednakovrijedno </t>
    </r>
    <r>
      <rPr>
        <b/>
        <sz val="11"/>
        <rFont val="Calibri"/>
        <family val="2"/>
        <charset val="238"/>
        <scheme val="minor"/>
      </rPr>
      <t>(kpl) 1</t>
    </r>
  </si>
  <si>
    <r>
      <t xml:space="preserve">ili jednakovrijedno </t>
    </r>
    <r>
      <rPr>
        <b/>
        <sz val="11"/>
        <rFont val="Calibri"/>
        <family val="2"/>
        <charset val="238"/>
        <scheme val="minor"/>
      </rPr>
      <t>(kpl) 1</t>
    </r>
  </si>
  <si>
    <r>
      <t xml:space="preserve">sljedećih karakteristika ili jednakovrijedno </t>
    </r>
    <r>
      <rPr>
        <b/>
        <sz val="11"/>
        <rFont val="Calibri"/>
        <family val="2"/>
        <charset val="238"/>
        <scheme val="minor"/>
      </rPr>
      <t>(kpl) 2</t>
    </r>
  </si>
  <si>
    <r>
      <t>sljedećih karakteristika ili jednakovrijedno</t>
    </r>
    <r>
      <rPr>
        <b/>
        <sz val="11"/>
        <rFont val="Calibri"/>
        <family val="2"/>
        <charset val="238"/>
        <scheme val="minor"/>
      </rPr>
      <t xml:space="preserve"> (kom) 1</t>
    </r>
  </si>
  <si>
    <r>
      <t>karakteristika ili jednakovrijedno</t>
    </r>
    <r>
      <rPr>
        <b/>
        <sz val="11"/>
        <rFont val="Calibri"/>
        <family val="2"/>
        <charset val="238"/>
        <scheme val="minor"/>
      </rPr>
      <t xml:space="preserve"> (kom) 1</t>
    </r>
  </si>
  <si>
    <r>
      <t>sljedećih karakteristika ili jednakovrijedno</t>
    </r>
    <r>
      <rPr>
        <b/>
        <sz val="11"/>
        <rFont val="Calibri"/>
        <family val="2"/>
        <charset val="238"/>
        <scheme val="minor"/>
      </rPr>
      <t xml:space="preserve"> (kpl) 1</t>
    </r>
  </si>
  <si>
    <r>
      <t xml:space="preserve">tijelo kutije sljedećih karakteristika ili jednakovrijedno </t>
    </r>
    <r>
      <rPr>
        <b/>
        <sz val="11"/>
        <rFont val="Calibri"/>
        <family val="2"/>
        <charset val="238"/>
        <scheme val="minor"/>
      </rPr>
      <t>(kom) 1</t>
    </r>
  </si>
  <si>
    <r>
      <t xml:space="preserve">jednakovrijedno </t>
    </r>
    <r>
      <rPr>
        <b/>
        <sz val="11"/>
        <rFont val="Calibri"/>
        <family val="2"/>
        <charset val="238"/>
        <scheme val="minor"/>
      </rPr>
      <t>(kom) 1</t>
    </r>
  </si>
  <si>
    <r>
      <t xml:space="preserve">kadica 4 modula sljedećih karakteristika ili jednakovrijedno </t>
    </r>
    <r>
      <rPr>
        <b/>
        <sz val="11"/>
        <rFont val="Calibri"/>
        <family val="2"/>
        <charset val="238"/>
        <scheme val="minor"/>
      </rPr>
      <t>(kom) 1</t>
    </r>
  </si>
  <si>
    <r>
      <t xml:space="preserve">sljedećih karakteristika  ili jednakovrijedno </t>
    </r>
    <r>
      <rPr>
        <b/>
        <sz val="11"/>
        <rFont val="Calibri"/>
        <family val="2"/>
        <charset val="238"/>
        <scheme val="minor"/>
      </rPr>
      <t>(kom) 2.</t>
    </r>
  </si>
  <si>
    <r>
      <t xml:space="preserve">ili jednakovrijedno </t>
    </r>
    <r>
      <rPr>
        <b/>
        <sz val="11"/>
        <rFont val="Calibri"/>
        <family val="2"/>
        <charset val="238"/>
        <scheme val="minor"/>
      </rPr>
      <t>(kom) 2</t>
    </r>
  </si>
  <si>
    <r>
      <t xml:space="preserve">sljedećih karakteristika ili jednakovrijedno </t>
    </r>
    <r>
      <rPr>
        <b/>
        <sz val="11"/>
        <rFont val="Calibri"/>
        <family val="2"/>
        <charset val="238"/>
        <scheme val="minor"/>
      </rPr>
      <t>(kom) 2</t>
    </r>
  </si>
  <si>
    <r>
      <t>INSTALACIJSKI  KABEL 2x 4,0mm</t>
    </r>
    <r>
      <rPr>
        <b/>
        <sz val="11"/>
        <rFont val="Calibri"/>
        <family val="2"/>
        <charset val="238"/>
        <scheme val="minor"/>
      </rPr>
      <t>²</t>
    </r>
    <r>
      <rPr>
        <b/>
        <i/>
        <sz val="11"/>
        <rFont val="Calibri"/>
        <family val="2"/>
        <charset val="238"/>
        <scheme val="minor"/>
      </rPr>
      <t xml:space="preserve"> SLJEDEĆIH</t>
    </r>
  </si>
  <si>
    <r>
      <t>m</t>
    </r>
    <r>
      <rPr>
        <vertAlign val="superscript"/>
        <sz val="11"/>
        <rFont val="Calibri"/>
        <family val="2"/>
        <charset val="238"/>
        <scheme val="minor"/>
      </rPr>
      <t>3</t>
    </r>
  </si>
  <si>
    <t>OPĆI POGODBENI I TEHNIČKI UVJETI</t>
  </si>
  <si>
    <t>Prije početka izvođenja radova, izvođač može obaviti pregled lokacije i o eventualnim odstupanjima projekta od stvarnog stanja upozoriti investitora.</t>
  </si>
  <si>
    <t>Sav korišteni materijal, oprema i proizvodi koji se upotrebljavaju kod izvođenja instalacija moraju odgovarati postojećim propisima i normama, kao i opisu u troškovniku.</t>
  </si>
  <si>
    <t>Ako bi se izvedeni radovi drugih izvođača pri montaži instalacija vatrodojave i opreme nepotrebno i uslijed nemarnosti i nestručnosti oštetili, troškove štete snosit će izvođač vatrodojave.</t>
  </si>
  <si>
    <t xml:space="preserve">Kod polaganja instalacije vatrodojavnog sustava treba se pridržavati važećih propisa za instalacije slabe struje kao i posebnih uputa proizvođača opreme. </t>
  </si>
  <si>
    <t xml:space="preserve">Potrebno je izbjegavati blisko paralelno vođenje instalacija vatrodojavnog sustava i instalacija jake struje, a ako to nije moguće potrebno je osigurati razmake minimalno 10 cm. Križanje s vodovima jake struje nije poželjno, no ako se ono ne može izbjeći trase se moraju sjeći pod kutom od 90° i na razmaku po dubini najmanje 1 cm. </t>
  </si>
  <si>
    <t>Cijevi koje se polažu kroz vanjske zidove objekta moraju biti od materijala koji su otporni na vlagu.</t>
  </si>
  <si>
    <t>Kod probijanja zidova i bušenja armirano-betonske konstrukcije, odnosno stropova na kojima je trstika treba se posavjetovati sa stručnjacima - statičarima.</t>
  </si>
  <si>
    <t>25.</t>
  </si>
  <si>
    <t>Kod probijanja zidova i bušenja stropova na kojima ima štukatura i ukrasnih motiva treba se posavjetovati sa stručnjacima - restauratorima</t>
  </si>
  <si>
    <t>26.</t>
  </si>
  <si>
    <t>Kod probijanja zidova i bušenja armirano-betonske konstrukcije u prostoru u kojem su provedene propisane mjere zaštite od požara i eksplozije treba koristiti vatrootpornu masu za brtvljenje.</t>
  </si>
  <si>
    <t>27.</t>
  </si>
  <si>
    <t xml:space="preserve">Polaganje vodova instalacije vatrodojavnog sustava potrebno je prilagoditi građevinskim rješenjima izvedbe objekta. </t>
  </si>
  <si>
    <t>28.</t>
  </si>
  <si>
    <t>Polaganje vodova u cijevi treba biti izvedeno tako da se mogu bez teškoća izvući i ponovno uvući.</t>
  </si>
  <si>
    <t>29.</t>
  </si>
  <si>
    <t>Horizontalno polaganje kabela niže od 2 metra treba izbjegavati, a u slučaju da to nije moguće treba ih mehanički zaštititi.</t>
  </si>
  <si>
    <t>30.</t>
  </si>
  <si>
    <t>Sve kabele koji prelaze sa zida u pod i kabele koji izlaze iz energetskih kanala na zid treba uvući u čelične cijevi odgovarajućeg promjera.</t>
  </si>
  <si>
    <t>31.</t>
  </si>
  <si>
    <t>Sva spajanja moraju biti izvedena kvalitetno i propisnim priborom.</t>
  </si>
  <si>
    <t>32.</t>
  </si>
  <si>
    <t xml:space="preserve">Zaštitu od previsokog napona dodira na centralnom uređaju izvesti spajanjem svih vodljivih dijelova centralnog uređaja na postojeći sistem zaštite u objektu. </t>
  </si>
  <si>
    <t>33.</t>
  </si>
  <si>
    <t>Sistem zaštite od previsokog napona dodira na javljačima nije potreban, budući da su javljači priključeni maksimalno do 28V.</t>
  </si>
  <si>
    <t>34.</t>
  </si>
  <si>
    <t>Izvođač je dužan prije početka izvođenja radova prema ovom projektu istoga proučiti. Ukoliko se pojave neke nejasnoće treba se konzultirati sa projektantom.</t>
  </si>
  <si>
    <t>35.</t>
  </si>
  <si>
    <t>U projektu se ne smije vršiti nikakva izmjena bez suglasnosti projektanta odnosno nadzornog organa.</t>
  </si>
  <si>
    <t>36.</t>
  </si>
  <si>
    <t>Izvođač instalacije vatrodojave montira i spaja na strop podnožja javljača.</t>
  </si>
  <si>
    <t>37.</t>
  </si>
  <si>
    <t>Glave javljača ugrađuje servisna služba.</t>
  </si>
  <si>
    <t>38.</t>
  </si>
  <si>
    <t>Vodovi odnosno kabeli vode se od podnožja do podnožja u jednom komadu bez prekida. Prekid se može izvesti tek kod priključnih stezaljki u podnožjima ili u razvodnim ormarima, koji su posebno označeni crvenom bojom i koriste se samo u tu svrhu.</t>
  </si>
  <si>
    <t>39.</t>
  </si>
  <si>
    <t>Minus (-) i plus (+) vodič iste vatrodojavne zone moraju biti u istom kabelu.</t>
  </si>
  <si>
    <t>40.</t>
  </si>
  <si>
    <t>Zabranjeno je za veći broj vatrodojavnih zona upotrijebiti jedan zajednički negativni minus.</t>
  </si>
  <si>
    <t>41.</t>
  </si>
  <si>
    <t>Pripadajući vodovi svih zona i drugih uređaja moraju biti označeni naljepnicama odnosno natpisnim pločicama prema oznakama iz projekta.</t>
  </si>
  <si>
    <t>42.</t>
  </si>
  <si>
    <t>Svi vatrodojavni javljači moraju imati naljepnicu sa oznakom petlje, grupe i adrese.</t>
  </si>
  <si>
    <t>43.</t>
  </si>
  <si>
    <t xml:space="preserve">Svi paralelni indikatori moraju imati naljepnicu sa oznakom pripadajućeg javljača. </t>
  </si>
  <si>
    <t>44.</t>
  </si>
  <si>
    <t>Iz razloga otežanih uvjeta montaže javljača ili drugih opravdanih razloga, pozicije javljača se kod izvođenja mogu korigirati (manje korekcije pozicija javljača su dozvoljene jer se bitno ne narušavaju nadzorne površine javljača).</t>
  </si>
  <si>
    <t>45.</t>
  </si>
  <si>
    <t>Prilikom montaže javljača obratiti pažnju na solidno učvršćenje.</t>
  </si>
  <si>
    <t>46.</t>
  </si>
  <si>
    <t>Javljače požara spajati prema shemama za spajanje javljača.</t>
  </si>
  <si>
    <t>47.</t>
  </si>
  <si>
    <t>48.</t>
  </si>
  <si>
    <t>Na strujni krug kojim se napaja centrala ne smije se priključiti ništa osim centrale.</t>
  </si>
  <si>
    <t>49.</t>
  </si>
  <si>
    <t>Priključak centrale na mrežu mora biti u potpunosti pripremljen, ali na uređaj ni u kom slučaju ne smije biti doveden napon.</t>
  </si>
  <si>
    <t>50.</t>
  </si>
  <si>
    <t>Vodovi za priključak rezervnog akumulatorskog napajanja moraju biti instalirani ali ne i priključeni.</t>
  </si>
  <si>
    <t>51.</t>
  </si>
  <si>
    <t>Patrone osigurača ne smiju biti umetnute u podnožja.</t>
  </si>
  <si>
    <t>52.</t>
  </si>
  <si>
    <t>Vatrodojavni sustav pušta u prvi pogon servisna služba na poziv investitora nakon završetka svih instalacijskih radova.</t>
  </si>
  <si>
    <t>53.</t>
  </si>
  <si>
    <t>Kod puštanja u pogon mora biti prisutan monter koji je izvodio instalacijske radove, kako bi odmah mogao otkloniti eventualne nedostatke u instalacijama.</t>
  </si>
  <si>
    <t>54.</t>
  </si>
  <si>
    <t>Upute za rukovanje centralnim uređajem daje proizvođač.</t>
  </si>
  <si>
    <t>55.</t>
  </si>
  <si>
    <t>Da bi vatrodojava bila efikasna potrebno je osposobiti dežurne osobe (portire, vatrogasce) za rukovanje vatrodojavnim uređajima.</t>
  </si>
  <si>
    <t>56.</t>
  </si>
  <si>
    <t>Izvođač treba biti stručno osposobljen i ovlašten za izvođenje ovakve vrste instalacija</t>
  </si>
  <si>
    <t>57.</t>
  </si>
  <si>
    <t>Na vratima sobe nadzornog centra gdje se smješta vatrodojavna centrala mora se nalaziti tabela sa natpisom “Zabranjen pristup neovlaštenim osobama”.</t>
  </si>
  <si>
    <t>58.</t>
  </si>
  <si>
    <t>Put prilaznog mjesta vatrogasne tehnike do centrale za dojavu požara mora biti označen putokazima D1 i D2.</t>
  </si>
  <si>
    <t>59.</t>
  </si>
  <si>
    <t xml:space="preserve">Potrebna ispitivanja </t>
  </si>
  <si>
    <t xml:space="preserve"> - Atest o izvršenom ispitivanju sustava vatrodojave  od ovlaštene institucije</t>
  </si>
  <si>
    <t xml:space="preserve"> - Atesti opreme i ispitivanja za sve grupe i elemente pojedinih grupa tehničke zaštite od ovlaštene tvrtke koja ima registraciju i ovlaštenje MUP-a za djelatnosti tehničke zaštite.</t>
  </si>
  <si>
    <t>60.</t>
  </si>
  <si>
    <t>61.</t>
  </si>
  <si>
    <t>62.</t>
  </si>
  <si>
    <t>Prvo ispitivanje ili ispitivanje preuzimanja provodi se prije puštanja u pogon novo izvedenog sustava za dojavu požara.</t>
  </si>
  <si>
    <t>63.</t>
  </si>
  <si>
    <t>Prvo ispitivanje obavlja ovlaštena pravna osoba na način propisan “Pravilnikom o uvjetima za obavljanje ispitivanja stabilnih sustava za dojavu i gašenje požara.”</t>
  </si>
  <si>
    <t>64.</t>
  </si>
  <si>
    <t>Prije započinjanja ispitivanja moraju se upozoriti sve osobe koje bi mogle automatski primiti signale za dojavu požara ili smetnji da je ispitivanje u tijeku.</t>
  </si>
  <si>
    <t>65.</t>
  </si>
  <si>
    <t>Po završetku ispitivanja moraju se upozoriti sve osobe da je ispitivanje završeno.</t>
  </si>
  <si>
    <t>66.</t>
  </si>
  <si>
    <t>Ispitivanje automatskih javljača obavlja se na mjestu ugradnje i uključuje sve javljače u sustavu.</t>
  </si>
  <si>
    <t>67.</t>
  </si>
  <si>
    <t>Preuzimanje sustava za dojavu požara od strane korisnika obavlja se sukladno protokolu o preuzimanju i utvrđuje se zapisnički.</t>
  </si>
  <si>
    <t>68.</t>
  </si>
  <si>
    <t xml:space="preserve">1. U svakoj stavci nuditi konkretni proizvod (opremu) specificiranu ovim troškovnikom.
</t>
  </si>
  <si>
    <t>4. Prije davanja ponude obavezno proučiti tehnički opis i grafički dio, te u slučaju nejasnoća, konzultirati se sa naručiteljem.</t>
  </si>
  <si>
    <t>Sve stavke specifikacije podrazumijevaju dobavu i montažu opreme, kao i polaganje i spajanje kabela, te dovođenje predmetne instalacije u funkciju.
Sva oprema mora biti renomiranih proizvođača i imati ateste na hrvatskom jeziku</t>
  </si>
  <si>
    <t>Karakteristike elemenata u opisima troškovničkih stavki predstavljaju minimalne karakteristike koje isti moraju zadovoljiti. Dopustiva je izgradnja sustava od elemenata jednakih, ili boljih karakteristika. Ponuditelji karakteristike elemenata dokazuju dostavom originalnih tehničkih listova za ponuđenu opremu. Za sve stavke opreme dozvoljeno je odstupanje karakteristika ± 5% od nazivne vrijednosti, osim ako je drugačije definirano u opisu pojedine troškovničke stavke.</t>
  </si>
  <si>
    <t>Oprema:</t>
  </si>
  <si>
    <t>Dobava, isporuka, ugradnja i spajanje vatrodojavne centrale sljedećih minimalnih karakteristika:
- modularna struktura s fleksibilnom mogućnošću proširivanja
- inteligentna ringbus tehnologija s 3 različita protokola petlje
- moguće je istovremeno na različitim modulima petlje koristiti različite protokole i time ostvariti sustav s javljačima različitih proizvođača kontroliranih od iste centrale
- 5.7“ 1/4 VGA displej prikazuje sve trenutne događaje u sustavu. 
- mogućnost priključenja 8 funkcijskih modula u jednom kućištu
- centrala u jednom kućištu može biti proširena do 8 modula petlje ili 64 konvencionalnih zona, koristeći kućište proširenja moguće je kontrolirati maksimalno 54 funkcionalna modula, do 20 modula petlje
- u svakoj petlji moguće je nadziranje 318 fizičkih adresnih točaka</t>
  </si>
  <si>
    <t>- na prednjoj strani kućišta postoje 3 polja za instalaciju dodatnih uređaja kao šu su LED polje za prikaz ili upravljanje, printer, brava za autorizaciju
- funkcijski moduli se instaliraju plug-in metodom bez isključivanja sustava
- dva nadzirana izlaza za sirene, tri beznaponska relejna izlaza, 8 open-collector izlaza i 3 ulaza su standardni. 
-  memorija do 10000 događaja
- mogućnost pristupa centrali putem mobilne i računalne aplikacije
- Nadogradnjom može biti integrirana u mrežu, kao i proširena s centralom za gašenje
- mogućnost smještaja akumulatora 2 x 12V, 45 Ah
- Radna temperatura -20°C to +60°C 
- Dimenzije W × H × D 444 × 530 × 201 (mm) 
- Boja sivo-bijela RAL 9002 
- Težina bez baterija 8 kg                                                                                                                    - Uključena i matična ploča</t>
  </si>
  <si>
    <t>1.2</t>
  </si>
  <si>
    <t xml:space="preserve">Dobava, isporuka, ugradnja i spajanje modula vatrodojavne petlje sljedećih minimalnih karakteristika:
- Instalacija u obliku prstena s mogunošću dodavanja grana bez dodatnih uređaja
- Svaki modul u sebi ima integrirane sredstva mjerenja i analize funkcija, pomoću kojih je moguće pratiti električne karakteristike na petlji kao što su: otpor, struju linije, napon na oba kraja…bilo kakav greška pokaže se na centrali.
- Modul ima svoj procesor, tako da u slučaju zatajenja procesora na vatrodojavnoj centrali, osigurano je i dalje sigurno prepoznavanje alarma. 
- Potrošnja na 24 V, bez detektora/modula 25 mA
- Maksmalni broj detektora/modula ovisno o protokolu 
- Maksimalna struja petlje 600mA (at reduced line resistance) </t>
  </si>
  <si>
    <t>1.3</t>
  </si>
  <si>
    <t>Dobava, isporuka, ugradnja i spajanje akumulatorske baterije za vatrodojavnu centralu sljedećih minimalnih karakteristika: akumulatorska baterija
- 12V/28Ah</t>
  </si>
  <si>
    <t>1.4</t>
  </si>
  <si>
    <t>Dobava, isporuka i montaža protupožarnog ormarića za ugradnju vatrodojavne centrale, sa ugrađenim zaokretnim djelomidno ostakljenim vratima
- vel. ormarića Š80xV90xD35
- protupožama otpornost u klasi T- 60'.
- Izrada od čeličnog pocinčanog lima.
- Završna obrada plastifikacija u RAL - u po izboru
- Ostakljenje vrata izvodi se sa p.p. staklom u klasi F-60', debljine 21 mm,dimenzija p.p. stakla 35 x 35 cm.
- Ugradena p.p. brava ( DIN - 1 8250 ili jednakovrijedna), cilindar s tri ključa.
- Certifikati izdani od ovlaštene Ustanove u R.H.</t>
  </si>
  <si>
    <t>Dobava, isporuka, ugradnja i spajanje paralelnog tabloa za nadzor i upravljanje
- povezivanje kao dio mreže
- upravljanje i prikaz svih događaja u mreži
- 1/4 VGA displej prikazuje sve trenutne događaje u sustavu.
- napajanje preko vatrodojavne centrale
- dimenzije 216 x 385 x 33 mm
- težina 2,2 kg</t>
  </si>
  <si>
    <t>Dobava, isporuka, ugradnja i spajanje adresabilnog optičkog detektora
- optička tehnologija detekcije
- fizička zaštita od prašine i insekata
- mogućnost adresiranja s automatski s centrale
- 240 elemenata u petlji
- Konstantna komunikacija između centrale i detektora osigurava periodičko testiranje detektora
- integrirani dvostruki izolator koji odspaja petlju u slučaju kratkog spoja
- Potrošnja na 24V u normalnom stanju 160µA; u alarmu 6mA 
- mogućnost odabira 4 razine osjetljivosti
- Temperaturno područje -30°C to +70°C
- Dimenzije Ø × H (bez podnožja) 106 × 50 (mm) 
- Boja bijela
- Težina 86g</t>
  </si>
  <si>
    <t>Dobava, isporuka, ugradnja i spajanje adresabilnog termičkog detektora
- termomaksimalna i relativna tehnologija detekcije
- mogućnost adresiranja automatski s centrale
- 240 elemenata u petlji
- Konstantna komunikacija između centrale i detektora osigurava periodičko testiranje detektora
- integrirani dvostruki izolator koji odspaja petlju u slučaju kratkog spoja
- Potrošnja na 24V u normalnom stanju 160µA; u alarmu 6mA 
- mogućnost odabira 4 razine osjetljivosti
- Temperaturno područje -30°C to +70°C
- Dimenzije Ø × H (bez podnožja) 106 × 50 (mm) 
- Boja bijela
- Težina 86g</t>
  </si>
  <si>
    <t>Dobava, isporuka, ugradnja i spajanje standardnog podnožja javljača
- mogućnost zaključavanja podnožja radi sprečavanja neovlaštenog skidanja javljača
- Temperaturno područje -30°C to +70°C
- Dimenzije Ø × H 110 × 16 (mm) 
- Boja bijela
- Težina 50g</t>
  </si>
  <si>
    <t>Dobava, isporuka, ugradnja i spajanje dodatnog podnožja za nadžbuknu montažu</t>
  </si>
  <si>
    <t>Dobava, isporuka, ugradnja i spajanje adresabilnog ručnog javljača požara
- ručni javljač prema EN54-11/tip B ili jednakovrijedna
- aluminijsko kućište
- aktivacija razbijanjem stakla i pritiskom na tipku
- 240 elemenata u petlji
- dvobojna LED-ica za prikaz stanja
- dvostruki izolator
- potrošnja 90 µA u normalnom stanju
- temperaturno područje od -20 do +60oC 
- stupanj zaštite IP43 (uz dodatni kit moguće IP54)
- dimenzije 126 x 126 x 35 mm
- boja crvena</t>
  </si>
  <si>
    <t>Dobava, isporuka, ugradnja i spajanje adresabilnog ručnog javljača požara za vanjsku ugradnju
- ručni javljač prema EN54-11/tip B ili jednakovrijedna
- aluminijsko kućište
- aktivacija razbijanjem stakla i pritiskom na tipku
- 240 elemenata u petlji
- dvobojna LED-ica za prikaz stanja
- dvostruki izolator
- potrošnja 90 µA u normalnom stanju
- temperaturno područje od -20 do +60oC 
- stupanj zaštite IP65
- dimenzije 126 x 126 x 35 mm
- boja crvena</t>
  </si>
  <si>
    <t xml:space="preserve">Dobava, isporuka, ugradnja i spajanje modula za upravljanje i nadziranje drugim sustavima
-  4 relejna izlaza/4 ulaza
- dvostruki izolator petlje
- dvobojna LED-ica za prikaz stanja
- potrošnja u mirnom stanju/alarmu 300 µA/max. 6mA
- temperaturno područje -30°C do +70°C
-  IP65
- dimenzije 210 x 170 x 66 mm
- težina 470g </t>
  </si>
  <si>
    <t>Dobava, isporuka i montaža kućišta za montažu modula</t>
  </si>
  <si>
    <t xml:space="preserve">Dobava, isporuka, ugradnja i spajanje alarmne adresibilne sirene s bljeskalicom
- napajanje iz petlje u kombinaciji s modulom
- mogućnost odabira 4 jačine, 32 tona
- potrošnja u alarmu max. 17mA
- 100 dB(A) / 1m 
- EN54-23 W-2.5-7 ili jednakovrijedna
- temperaturno područje -10°C do +55°C
- crvena boja
-  IP65
- dimenzije Ø × H 130 x 92 mm
- težina 290 g </t>
  </si>
  <si>
    <t>Dobava, isporuka, ugradnja i spajanje paralelnog indikatora
- temperaturno područje -30°C to +70°C
- IP42
- dimenzije 80 × 80 × 27 (mm)
- 42 g</t>
  </si>
  <si>
    <t>Dobava, isporuka, ugradnja i spajanje GSM/4G/IP komunikatora s EN 54-21 certifikatom ili jednakovrijednim
- 4 ulaza: NO/NC /EOL/ 2 EOL/ dupliranje zona
- 2 OC izlaza NO/NC/pratitelj (ulaz, izlaz, događaj)
- Prosljeđivanje na 4 servera za udaljeni nadzor, s više opcija ruta
- 256 dnevnik događaja s vremenskom oznakom
- 2G/4G veza, Dual SIM nano (2 SIM kartice); Ethernet veza; Cloud
- Konfiguracija putem USB-a; softver za programiranje (ENICOM Tool); aplikacija (ENICOM)
- SIA DC-09 protokol ili jednakovrijedni
- EN 54-21 certifikat ili jednakovrijedni</t>
  </si>
  <si>
    <t>Instalacije:</t>
  </si>
  <si>
    <t>Nabava, isporuka i polaganje kabela u kabelske kanalice
- JB-Y(St)Y 2x2x0,8 mm
 - predvidjeti rad na većim visinama te potreban alat (skela)</t>
  </si>
  <si>
    <t>Nabava, isporuka i polaganje kabela u kabelske kanalice
- JE-H(St)H 2x2x0,8 mm FE180/E30
 - predvidjeti rad na većim visinama te potreban alat (skela)</t>
  </si>
  <si>
    <t>Dobava, isporuka i polaganje signalnog kabela bez halogena sa svim spojnim i montažnim materijalom kabela.
tip: FFTP cat6a</t>
  </si>
  <si>
    <t>Nabava, isporuka i polaganje kabela  u kabelske kanalice
- PP 3x1,5 mm2
 - predvidjeti rad na većim visinama te potreban alat (skela)</t>
  </si>
  <si>
    <t xml:space="preserve">Nabava, isporuka i nadžbukno polaganje kabelskih kanalica uključujući potrebni instalacijski spojni i montažni pribor i materijal (tiple, vijci, koljena, obujmice i vezice) te s izvedbom potrebnih prodora
 - predvidjeti rad na većim visinama te potreban alat (skela)
- 20x10 mm </t>
  </si>
  <si>
    <t>Nabava, isporuka i podžbukno polaganje samogasivih ERC  cijevi uključujući potrebni instalacijski spojni i montažni pribor i materijal (tiple, vijci, koljena, obujmice i vezice) te s izvedbom potrebnih prodora
- Ø 20 mm</t>
  </si>
  <si>
    <t>Dobava, isporuka i ugradnja PNT krute cijevi Ø16 sa svim montažnim i spojnim priborom i materijalom (razvodne kutije, uvodnice, gips, čavle, obujmice i vezice).</t>
  </si>
  <si>
    <t>2.8</t>
  </si>
  <si>
    <t>Dobava potrebnih oznaka i pribora te postavljanje oznaka tipa D1 i D2 za označavanje pozicije centrale za dojavu požara, prema normi HRN DIN 4066. ili jednakovrijedne.</t>
  </si>
  <si>
    <t>2.9</t>
  </si>
  <si>
    <t>Nabava, isporuka i ugradnja potrebnog instalacijskog spojnog i montažnog pribora i materijala. Stavci pripadaju:</t>
  </si>
  <si>
    <t>potrebne dodatne razvodne kutije, redne stezaljke</t>
  </si>
  <si>
    <t>označene pločice i naljepnice za kabele i opremu</t>
  </si>
  <si>
    <t>obujmice, vezice, uvodnice, OG odstojne obujmice</t>
  </si>
  <si>
    <t>plastični i čelični tipli s vijcima</t>
  </si>
  <si>
    <t>zavrtnji s maticama i podložnim pločicama</t>
  </si>
  <si>
    <t xml:space="preserve">zaštitne ce-cijevi i PN cijevi, gips, gumi kit i sl </t>
  </si>
  <si>
    <t>2.10</t>
  </si>
  <si>
    <t>Dobava i montaža mase za brtvljenje prodora veličine 0,25 m2 na granici protupožarnih sektora:
Karakteristike za jednakovrijednost:
Certifikat u skladu sa: EN 1366-3 (protupožarne pregrade) - EN 13501-2 / klasifikacijska izvješća ÖNORM B 3807 ili jednakovrijedna</t>
  </si>
  <si>
    <t>Radovi:</t>
  </si>
  <si>
    <t>Građevinski proboji zidova potrebni za izvođenje instalacija, komplet s potrebnim materijalom i radovima za odgovarajuću obradu proboja radi zaštite kabela od oštećenja, brtvljenje, provlačenje plastičnih zaštitnih cijevi i sl.</t>
  </si>
  <si>
    <t>Ispitivanje instalacije sustava za dojavu požara i puštanje u pogon
 - završne prilagodbe
 - podešavanje parametara sustava u cjelini
 - testiranje
 - puštanje sustava u pogon do pune funkcionalnosti</t>
  </si>
  <si>
    <t>Programiranje vatrodojavne centrale s unošenjem korisničkih podataka</t>
  </si>
  <si>
    <t>Godišnja licenca za mobilnu aplikaciju za upravljanje i nadzor nad sustavom dojave požara</t>
  </si>
  <si>
    <t>Obuka djelatnika sa zapisnikom o obavljenoj obuci, te dokumentacija za uporabu na hrvatskom jeziku</t>
  </si>
  <si>
    <t>Primopredaja sustava korisniku s kompletnom programskom dokumentacijom</t>
  </si>
  <si>
    <t>Izrada projekta Izvedeno stanje (3 primjerka na papiru +1 u elektronskom obliku na CD-R mediju u nezaključanom formatu: doc, xls i dwg)</t>
  </si>
  <si>
    <t>Izdavanje uvjerenja o funkcionalnosti sustava vatrodojave od strane ovlaštene ustanove</t>
  </si>
  <si>
    <t>GRIJANJE, HLAĐENJE, VENTILACIJA I PLIN</t>
  </si>
  <si>
    <t>OPĆENITO</t>
  </si>
  <si>
    <t>U stavkama troškovnika potrebno je uračunati sav potrebni rad i materijal za izradu kompletne instalacije do potpune funkcionalnosti, svi potrebni prijevozi, uskladištenja, skele te unutarnje i vanjske komunikacije na gradilištu. Sve eventualne promjene i odstupanja od projekta, potrebno je usuglasiti sa projektantom i nadzornim inženjerom</t>
  </si>
  <si>
    <t xml:space="preserve">Cijena za sve stavke mora uključivati svu dobavu, transport i montažu sa svim materijalom i pomoćnim materijalom, radom i horizontalnim i vertikalnim transportom na gradilištu potrebne za dovršenje radova do potpune funkcionalne ili estetske gotovosti, osim ako u stavci nije izričito navedeno da je cijena određenog rada iili materijala specificirana u drugoj stavci. Sav pomoćni spojni materijal, potrebne radne skele, vanjske i unutarnje uključivo skele za fasaderske radove i radove na krovu, horizontalne i vertikalne transporte unutar objekta i do objekta treba uključiti u cijenu. </t>
  </si>
  <si>
    <t>Prilikom izrade ponude treba imati u vidu najnovije važeće propise za pojedine vrste instalacije.</t>
  </si>
  <si>
    <t>Za sve eventualne primjedbe u pogledu izvođenja i troškovnika, prije davanja ponude, obratiti se projektantu.</t>
  </si>
  <si>
    <t>Potvrdu narudžbe prije definitivne isporuke specificirane opreme izvođač radova obavezno je dužan provjeriti kod projektanta. Izmjena pojedinih dijelova opreme “zamjenskim dijelovima” bez prethodne pismene suglasnosti projektanta isključuje odgovornost projektanta za predviđenu funkcionalnost postrojenja.</t>
  </si>
  <si>
    <t>Svi ponuđači dužni su kompletan opseg vlastite isporuke uskladiti s traženom kompletnom funkcijom, respektirajući pri tom sve predviđene i tražene parametre, uz čvrste, pismeno potvrđene garancije. Sva eventualna potrebna razrađivanja, usklađenja i slično, u opsegu su dotične isporuke, a sve pripadne troškove snosi ponuđač.</t>
  </si>
  <si>
    <t>Izvođač je dužan prijenos, ugradnju i svu građevinsku pripomoć izvesti o svom trošku, te sve te radove nuditi u jediničnim cijenama ovog troškovnika.</t>
  </si>
  <si>
    <t>Svi izvedeni radovi moraju biti unutar dopuštenih granica definiranih Zakonom o normizaciji (NN br. 80/13), odnosno tehničkim propisima za izvođenje pojedinih vrsta radova, navedenih uz pojedine grupe radova.</t>
  </si>
  <si>
    <t>Sve radove treba kalkulirati prema opisu troškovničkih stavki i uvodnih opisa pojedinih grupa radova vezanih za izvođenja po važećim normama.</t>
  </si>
  <si>
    <t>Izvršitelj bi trebao obići i detaljno pregledati lokacije. Neovisno o tome je li ponuditelj obišao lokaciju budućih objekata, Naručitelj će smatrati da je ponuditelj obišao i detaljno pregledao lokaciju (zonu obuhvata) i pripadajuće područje te je dobro upoznat sa svim uvjetima, faktorima i resursima u odnosu i u svezi s lokacijom ili onim koji mogu utjecati na izvršenje radova, te da je na temelju navedenog podnio svoju ponudu. Stoga, odabrani ponuditelj nema pravo zahtijevati povećanje cijene ili drugu naknadu, pozivajući se da u vrijeme davanja ponude nije bio upoznat s okolnostima vezanim uz lokaciju postojećih objekata.</t>
  </si>
  <si>
    <t>U dokumentaciji za nadmetanje, tehničkoj dokumentaciji i troškovniku ovog postupka nabave navedena su tehnička pravila koja opisuju predmet nabave pomoću hrvatskih, odnosno međunarodnih normi. Ponuditelj treba ponuditi predmet nabave u skladu s normama iz dokumentacije za nadmetanje ili jednakovrijednim normama. Stoga, za svaku navedenu normu navedenu po dotičnom normizacijskom sustavu dozvoljeno je nuditi jednakovrijednu normu, tehničko odobrenje odnosno uputu iz odgovarajuće hrvatske, europske ili međunarodne nomenklature.</t>
  </si>
  <si>
    <t>*jednakovrijednost proizvoda za sve stavke troškovnika u kojima se spominje dokazuje se tehničkim opisima koje izrađuje proizvođač ili izvješćima o ispitivanju koje sastavlja ovlašteno tijelo za ocjenu sukladnosti.</t>
  </si>
  <si>
    <t>Sav materijal, opremu i uređaje kod dopreme na gradilište, a prije ugradnje, izvođač je dužan upisati u dnevnik građenja, te nadzornom organu dostaviti ateste i uvjerenja o kvaliteti, kao i garancijske listove i tehničku dokumentaciju sa podacima o uređajima i opremi. Bez istog materijali, oprema i uređaji ne smiju biti ugrađeni.</t>
  </si>
  <si>
    <t>Izmjena pojedinih dijelova predviđene opreme bez prethodne pismene suglasnosti projektanta isključuje odgovornost projektanta za predviđenu funkcionalnost instalacije. Ovom specifikacijom nisu obuhvaćeni elektrotehnički, vodoinstalaterski i kanalizacijski radovi vezani uz funkcionalnost postrojenja obrađenog ovim projektom</t>
  </si>
  <si>
    <t>Cijena za svaku točku ovog troškovnika mora obuhvatiti dobavu, spajanje, te dovođenje stavke u stanje potpune funkcionalnosti.</t>
  </si>
  <si>
    <t>U cijenu treba ukalkulirati sav potreban spojni, montažni, pridržni i ostali materijal potreban za potpuno funkcioniranje pojedine stavke.</t>
  </si>
  <si>
    <t>DEMONTAŽNI RADOVI</t>
  </si>
  <si>
    <t>- Prije nuđenja demontažnih radova preporuča se ponuđaču detaljno sagledavanje postojećeg stanja na samoj građevini, radi realne procjene opsega posla.</t>
  </si>
  <si>
    <t>- Sa Investitorom dogovoriti koja će se oprema skladištiti i mjesto skladištenja.</t>
  </si>
  <si>
    <t>- Transportne troškove odvoza, utovar na kamion, te odvoz demontirane opreme van lokacije gradilišta snosi izvođač.</t>
  </si>
  <si>
    <t>Prije demontaže instalacije izvode se pripremno demontažni radovi koji obuhvaćaju:</t>
  </si>
  <si>
    <t>- Svu opremu i instalacije na kojoj se obavljaju radovi prethodno temeljito isprazniti od vode.</t>
  </si>
  <si>
    <t>- Snimanje situacije i mogućnosti izvedbe demontažnih radova.</t>
  </si>
  <si>
    <t>Demontaža sanitarne opreme u građevini</t>
  </si>
  <si>
    <t>pisoar-7 kom</t>
  </si>
  <si>
    <t>wc - 10 kom</t>
  </si>
  <si>
    <t>tuš - 5 kom</t>
  </si>
  <si>
    <t xml:space="preserve">umivaonik- 10 kom </t>
  </si>
  <si>
    <t>Demontaža djela postojeće instalacije vode  po građevini. Cijevna mreža je izvedena iz  cijevima dimenzija:</t>
  </si>
  <si>
    <t>DN15…DN25</t>
  </si>
  <si>
    <t>Demontaža djela postojeće kanalizacije  po građevini. Cijevna mreža je izvedena iz  cijevima dimenzija:</t>
  </si>
  <si>
    <t>DN32…DN100</t>
  </si>
  <si>
    <t>Demontaža djela postojeće instalacije hidrantske mreže po građevini. Cijevna mreža je izvedena iz  cijevima dimenzija:</t>
  </si>
  <si>
    <t>DN50</t>
  </si>
  <si>
    <t>Demontaža postojećih cjevovoda kanalizacije  te odvoz na mjesni deponij u dogovoru s investitorom i nadzornim inženjerom.</t>
  </si>
  <si>
    <t>Razbijanje postojećih šahtova na vodovodnoj i kanalizacijskoj instalaciji nakon demontaže opreme i cjevovoda te odvoz na mjesni deponij.</t>
  </si>
  <si>
    <t>Demontaža ostale nespecificirane opreme i elemenata sustava vodovoda i odvodnje</t>
  </si>
  <si>
    <t>VANJSKI VODOVOD I KANALIZACIJA</t>
  </si>
  <si>
    <t>ZEMLJANI RADOVI - VODOVOD</t>
  </si>
  <si>
    <t>Geodetsko iskolčenje trase vanjskog vodovoda prije izvođenja radova-dužina 30 m</t>
  </si>
  <si>
    <t xml:space="preserve">Iskop kanala u zemljištu C kategorije za polaganje vodovodnih cijevi. Dubinu 
iskopa izvesti do 1,2m. Širina rova 0,8 m. Predviđen je ručni iskop 30% i strojni iskop 70%.
NAPOMENA: Točnu kategoriju zemlje utvrditi na licu mjesta.
</t>
  </si>
  <si>
    <t>- iskop</t>
  </si>
  <si>
    <t>Proširenje dna rova u zemljištu C kategorije radi izvedbe kontrolnog vodomjernog okna. Iskopani materijal odbaciti na udaljenost preko 1.0 m od bočne ivice rova, kako bi se spriječilo urušavanje iskopanog materijala u rov.</t>
  </si>
  <si>
    <t>Planiranje dna rova s odstupanjem ± 2.0 cm.</t>
  </si>
  <si>
    <t>Dobava  pijeska,  ubacivanje  u rov, te izrada pješčane posteljice na dnu rova, u sloju debljine 10 cm.</t>
  </si>
  <si>
    <t>Dobava pijeska, ubacivanje u rov, te razastiranje s laganim nabijanjem oko i do visine od 15 cm iznad  tjemena cijevi.</t>
  </si>
  <si>
    <t>Dobava i polaganje u rov iznad vodovodnih cijevi PVC trake sa natpisom "POZOR - VODOVOD" i vodljivom žicom za detekciju trase</t>
  </si>
  <si>
    <t>Zatrpavanje rova materijalom od iskopa, po slojevima  do 30 cm, uz istovremeno obilno močenje i nabijanje materijala ručnim nabijačima. U materijalu ne smije biti kamenja promjera većeg od 12 cm.</t>
  </si>
  <si>
    <t>Odvoz materijala preostalog od iskopa, nakon zatrpavanja rova na gradsku deponiju (do 5 km), uključivo utovar, istovar i razastiranje.
Količina u rastresitom stanju za zemljište III kategorije</t>
  </si>
  <si>
    <t xml:space="preserve">Planiranje terena nakon izvršenog zatrpavanja rova. Pretpostavljena širina planiranja je 1,0 m. Obračun po m2 obrađene površine. </t>
  </si>
  <si>
    <t>ZEMLJANI RADOVI - KANALIZACIJA</t>
  </si>
  <si>
    <t>Geodetsko iskolčenje trase vanjske kanalizacije prije izvođenja radova-dužina 468 m</t>
  </si>
  <si>
    <t xml:space="preserve">Iskop kanala u zemljištu C kategorije za polaganje kanalizacijskih cijevi. Dubinu 
iskopa izvesti prema projektu, a pad kanala u projektiranom nagibu.Širina rova 0,8m. Predviđen je ručni iskop 30% i strojni iskop 70%.
NAPOMENA: Točnu kategoriju zemlje utvrditi na licu mjesta.
</t>
  </si>
  <si>
    <t>Proširenje dna rova u zemljištu C kategorije radi izvedbe revizijskih okana. Iskopani materijal odbaciti na udaljenost preko 1.0 m od bočne ivice rova, kako bi se spriječilo urušavanje iskopanog materijala u rov.</t>
  </si>
  <si>
    <t>Dobava pijeska i izrada posteljice za kanalizacijske cijevi. 
Posteljica ispod kanalizacijskih cijevi je debljine 10 cm. Nabija se strojnim i ručnim nabijačima i po potrebi vlaži. Posteljica mora biti ravna, prilagođena obliku cijevi i uzdužnom padu tako da cijevi po cijeloj dužini naliježu na istu.
Podmetanje kamena ispod cijevi ili podupiranje najstrože se zabranjuje.
Obračun po m3 izvedene posteljice.</t>
  </si>
  <si>
    <t xml:space="preserve">Dobava materijala i izrada obloge za kanalizacijske cijevi. 
Oko prethodno montiranih kanalizacijskih cijevi  izvodi se obloga od sitnog materijala - pijesak ili finiji zamjenski materijal iz pozajmišta (0-40 mm), a do visine 30 cm iznad vrha tjemena cijevi. Obračun po m3 izvedene obloge.
</t>
  </si>
  <si>
    <t>Dobava i polaganje u rov iznad kanalizacijski cijevi PVC trake sa natpisom "POZOR - kanalizacija" i vodljivom žicom za detekciju trase</t>
  </si>
  <si>
    <t>Zatrpavanje rova materijalom od iskopa, po slojevima od 30 cm, uz istovremeno obilno močenje i nabijanje materijala ručnim nabijačima.</t>
  </si>
  <si>
    <t xml:space="preserve">Odvoz viška materijala na deponiju
 Sav višak materijala iz iskopa rovova za kanalizacijske kolektore i priključke, građevinskih jama za kontrolna okna i vodolovna grla, a koji je ostao nakon zatrpavanja istih mora se odvesti na deponiju udaljenosti do 5 km. 
U cijenu je uključen utovar, prijevoz, istovar, te razastiranje materijala.
 Obračun po m3 materijala, u rastresitom stanju.
</t>
  </si>
  <si>
    <t>BETONSKI RADOVI - VODOVOD</t>
  </si>
  <si>
    <t xml:space="preserve">Izvedba vodomjernog okna armiranim vodonepropusnim betonom C 30/37 u dvostranoj  oplati,  debljine  bočnih stijenki 20 cm. Unutrašnje stijenke okna premazati polimercemntnim premazom. Vanjske stijenke obložiti savitljivom, 1,5 mm debljine, homogenom hidroizolacijskom membranom, sa signalnim slojem, na bazi visokokvalitetnog polivinilklorida
(PVC-p). </t>
  </si>
  <si>
    <t xml:space="preserve">Iznad okna na dubini oko 10 cm od kote uređenog terena izvesti armirano-betonsku ploču C30/37, debljine 15 cm s otvorom za silazak u okno. Iznad  otvora u ploči montirati dva poklopca s okvirom veličine poklopca 600x600 mm za opterećenje 250kN na prometnim površinama i 50kN na zelenim površinama (uzeti u obzir u ovoj stavci). Poklopac treba biti vodotijesan. U cijeni je izvedba, dobava i ugradnja stupaljki u stjenke okna izrađene iz lijevanog željeza. Prije ugradbe, stupaljke od korozije zaštititi dvostrukim premazom uljane boje. </t>
  </si>
  <si>
    <t>Dobava i ugradnja betonskog postolja u vodomjernom  oknu izrađenog iz betona C 15/20. U cijenu uračunata potrebna oplata, sav materijal i rad. Obračun po komadu izvedenog uporišta, do 0,04m3</t>
  </si>
  <si>
    <t>BETONSKI RADOVI - KANALIZACIJA</t>
  </si>
  <si>
    <t>Iznad okna na dubini oko 10 cm od kote uređenog terena izvesti armirano-betonsku ploču C25/30, debljine 15 cm s otvorom za silazak u okno. Iznad  otvora u ploči montirati poklopac s okvirom veličine poklopca 600x600 mm za opterećenje C250 kN na prometnim površinama i A15 na zelenim površinama (uzeti u obzir u ovoj stavci). U cijeni je izvedba, dobava i ugradnja stupaljki u stjenke revizionog okna izrađene iz lijevanog željeza. Prije ugradbe, stupaljke od korozije zaštititi dvostrukim premazom uljane boje.</t>
  </si>
  <si>
    <t>a)  dubine do 1,4m -  80x80 cm, bez proširenja</t>
  </si>
  <si>
    <t>b)  dubine od 1,4 do 2,0 m -  80x80 cm, proširnje na 100x100 na -1,4 m dubine</t>
  </si>
  <si>
    <t>c)  dubine od 2,0 m -  80x80 cm, proširnje na 100x100 na -1,4 m dubine; ugradnja leđobrana od dubine 2,5 m do 2,0 m iznad dna</t>
  </si>
  <si>
    <t>d)  dubine do 0,8m -  40x60 cm, bez proširenja</t>
  </si>
  <si>
    <t>e)  dubine do 1,4m -  promjera 80 cm, bez proširenja</t>
  </si>
  <si>
    <t>f)  dubine od 1,4 do 2,0 m -  promjera 100 cm, proširnje na promjer 100 cm na -1,4 m dubine</t>
  </si>
  <si>
    <t xml:space="preserve"> VODOVODNI RADOVI </t>
  </si>
  <si>
    <t>Sanitarna mreža</t>
  </si>
  <si>
    <t xml:space="preserve">Dobava i montaža cijevi iz polietilena za pitku vodu. Cijevi su predviđene za izvedbu priključnog sanitarnog voda  sa radnim tlakom do 10 bar u mreži. Serija cijevi u odnosu na radni tlak: S 5. U dužni metar cijevi uračunato je spajanje cijevi, ispitivanje zavarenih dijelova na nepropusnost i čvrstoću te popravak oštećenja.  U stavku uračunati i elektrospojnice i sve fazonske komade.
</t>
  </si>
  <si>
    <t>a) PEHD - 40x3,7mm</t>
  </si>
  <si>
    <t>DN  75</t>
  </si>
  <si>
    <t>Dobava i  ugradnja  armature u kontrolno vodomjerno okno, svi za minimalno PN 10 bar. U cijenu su uključeni vijci, sav brtveni i spojni materijal te potreban rad. Obračun po montiranom komadu. U cijenu uračunato čišćenje i dezinfekcija gradske vodovodne mreže.</t>
  </si>
  <si>
    <t>VODOMJERNO OKNO</t>
  </si>
  <si>
    <t>ISO fiting, DN32 - 2 kom</t>
  </si>
  <si>
    <t>redukcija DN32/25 - 2 kom</t>
  </si>
  <si>
    <t>kuglasti ventil, DN 32 - 1 kom</t>
  </si>
  <si>
    <t>Hvatač nečistoća DN 32mm - 1 kom</t>
  </si>
  <si>
    <t>Horizontalni vodomjer VM, Qn=3,5 m3/h, DN 25 -1 kom</t>
  </si>
  <si>
    <t>kuglasti ventil, DN 32 s ispustom - 2 kom</t>
  </si>
  <si>
    <t>ZOPT EA DN DN32 - 1 kom</t>
  </si>
  <si>
    <t>Sve komplet</t>
  </si>
  <si>
    <t>Izvedba spoja na postojeće instalacije sanitarne vode kompleksa. U stavku uključiti do 6 m cijevi PE HD 40x3,7 (DN32) i sav potreban sitni, brtveni i potrošni materijal koji je potreban za dovođenje stavke do potpune funkcionalnosti. Točnu mikrolokaciju utvrditi na licu mjesta prije početka izvođenja radova.</t>
  </si>
  <si>
    <t>Ispiranje te ispitivanje kompletne interne vanjske vodovodne mreže pod tlakom 6 i 10 bara</t>
  </si>
  <si>
    <t>Dezinfekcija kompletne interne vanjske vodovodne mreže sredstvom za dezinfekciju prema uputstvu za dezinfekciju</t>
  </si>
  <si>
    <t>Bakteriološka analiza uzoraka vode iz vanjskog internog cjevovoda nakon dezinfekcije, ovjerena od ovlaštene institucije</t>
  </si>
  <si>
    <t>Hidrantska mreža</t>
  </si>
  <si>
    <t>c) PEHD - 63x5,8mm</t>
  </si>
  <si>
    <t>DN  100</t>
  </si>
  <si>
    <t>Dobava i montaža protupožarnog ormarića za vanjsku hidrantsku mrežu sa svom opremom. U cijenu su uključeni vijci, sav brtveni i spojni materijal te potreban rad.</t>
  </si>
  <si>
    <t>Ključ za spojnice ABC - kom1</t>
  </si>
  <si>
    <t>Tlačna trevira cijev ∅ 52 mm 
l = 20 m sa spojnicama C - kom4</t>
  </si>
  <si>
    <t>Mlaznica sa zasunom ∅ 52 mm  - kom 2</t>
  </si>
  <si>
    <t xml:space="preserve">Ormarić </t>
  </si>
  <si>
    <t>Temelj veličine 30 x 50 x 90 cm iz 
betona C-20 - kom2</t>
  </si>
  <si>
    <t>Funkcionalno ispitivanje hidranata od strane ovlaštene službe, te izdavanje potvrde u pismenom obliku.</t>
  </si>
  <si>
    <t>Izvedba spoja na postojeće instalacije požarne vode kompleksa. U stavku uključiti do 6 m cijevi PE HD 63x5,8 (DN50) i sav potreban sitni, brtveni i potrošni materijal koji je potreban za dovođenje stavke do potpune funkcionalnosti. Točnu mikrolokaciju utvrditi na licu mjesta prije početka izvođenja radova.</t>
  </si>
  <si>
    <t>KANALIZACIJSKI RADOVI - MONTAŽNI</t>
  </si>
  <si>
    <t>Dobava i montaža tvrdih PVC SN4 i SN8 tvrdih cijevi i fazonskih komada za kanalizaciju. Spajanje cijevi izvoditi  gumenim prstenima</t>
  </si>
  <si>
    <t>a) cijev PVC - SN8</t>
  </si>
  <si>
    <t>DN  150</t>
  </si>
  <si>
    <t>b) fazonski komadi - SN8</t>
  </si>
  <si>
    <t>c) cijev PVC - SN4 (ispod temeljne ploče/u temeljnoj ploči)</t>
  </si>
  <si>
    <t>d) fazonski komadi - SN4(ispod temeljne ploče/u temeljnoj ploči)</t>
  </si>
  <si>
    <t>Dobava i ugradnja vodonepropusne brtve - priključka na betonsko reviziono okno za PVC cijevi</t>
  </si>
  <si>
    <t>a) DN150</t>
  </si>
  <si>
    <t>a) DN100</t>
  </si>
  <si>
    <t xml:space="preserve">Dobava i ugradnja nepovratnog ventila na kanalizaciji; DN100 </t>
  </si>
  <si>
    <t>Izvedba spoja na postojeće instalacije. U stavku uključiti do 6 m cijevi PVC DN150 i sav potreban sitni, brtveni i potrošni materijal koji je potreban za dovođenje stavke do potpune funkcionalnosti. Točnu mikrolokaciju utvrditi na licu mjesta prije početka izvođenja radova.</t>
  </si>
  <si>
    <t>Funkcionalno ispitivanje kompletne interne vanjske kanalizacije na vodonepropusnost od strane ovlaštene organizacije uz izdavanje Uvjerenja.</t>
  </si>
  <si>
    <t>OSTALI TROŠKOVI</t>
  </si>
  <si>
    <t>Provjera ispravnosti montaže svih elemenata instalacije vanjskog vodovoda i kanalizacije, provjera funkcionalnosti, pribavljanje dokaza o kvaliteti izvedenih radova na instalaciji, probno puštanje u rad i primopredaja.</t>
  </si>
  <si>
    <t xml:space="preserve">UNUTARNJA KANALIZACIJA </t>
  </si>
  <si>
    <t>B1</t>
  </si>
  <si>
    <t>BETONSKI RADOVI -  KANALIZACIJA</t>
  </si>
  <si>
    <t>Izvedba šliceva u podu i zidu građevine za polaganje  kanalizacijskih cijevi, te zatvaranje 
istih nakon montaže cijevi, cementnim  mortom 1:2 (kod križanja instalacija, spajanje na sanitarne uređaje...)</t>
  </si>
  <si>
    <t xml:space="preserve">a) u podu od betona 10x10 cm </t>
  </si>
  <si>
    <t xml:space="preserve">c) u zidu od betona 10x10 cm </t>
  </si>
  <si>
    <t>Rezanje podne ploče radi izvođenja kanalizacijskih cijevi iz građevine.</t>
  </si>
  <si>
    <t xml:space="preserve">a) širine 30 cm </t>
  </si>
  <si>
    <t>B2</t>
  </si>
  <si>
    <t xml:space="preserve"> KANALIZACIJSKI RADOVI</t>
  </si>
  <si>
    <t>a) niskošumna cijev PP (sanitarna kanalizacija, vertikale i razvod pod stropom)</t>
  </si>
  <si>
    <t>b) fazonski komadi (sanitarna kanalizacija, vertikale i razvod pod stropom)</t>
  </si>
  <si>
    <t xml:space="preserve">Dobava i montaža toplinske i zvučne izolacije  vertikalno i horizontalno vođene sanitarno fekalne kanalizacije gotovim izolacijskim cijevima ili samoljepivim izolacijskim pločama, debljine 9mm. 
</t>
  </si>
  <si>
    <t>a) montaža na cijev DN  100</t>
  </si>
  <si>
    <t xml:space="preserve">Dobava i montaža polipropilenskih kanalizacijskih cijevi visoke gustoće PP , te odgovarajućih fazonskih komada. Spajanje cijevi izvoditi usađivanjem u naglavke s gumenim prstenima. </t>
  </si>
  <si>
    <t>a) cijev PP</t>
  </si>
  <si>
    <t>DN  50</t>
  </si>
  <si>
    <t>b) fazonski komadi</t>
  </si>
  <si>
    <t>Dobava i montaža polipropilenskih kanalizacijskih cijevi visoke gustoće PP za odvodnju kondenzata , te odgovarajućih fazonskih komada. Spajanje cijevi izvoditi usađivanjem u naglavke s gumenim prstenima.  U stavku uključiti ovjese kanalizacijskih cijevi; montaža svaka 2 m - obujmice iz nehrđajućeg čelika s gumenom brtvom.</t>
  </si>
  <si>
    <t>DN  32</t>
  </si>
  <si>
    <t>DN  40</t>
  </si>
  <si>
    <t xml:space="preserve">Dobava i montaža negorive toplinske izolacije na odvode kondenzata na evakuacijskim putevima i stubištima. Klasa reakcije na požar A1.
Izolacija od izolacijski segmenata (cjevaka) od kamene vune za toplinsku, zvučnu i protupožarnu izolaciju cijevi u obliku cilindra s bočnim prorezom. S vanjske strane je kaširan ojačanom aluminijskom folijom koja služi kao površinska zaštita i kao parna brana. Izolacija debljine 20 mm.
</t>
  </si>
  <si>
    <t>a) montaža na cijev DN  32</t>
  </si>
  <si>
    <t>b) montaža na cijev DN  40</t>
  </si>
  <si>
    <t xml:space="preserve">Dobava i montaža toplinske i zvučne izolacije  vertikalno i horizontalno vođene odvodnje kondenzata gotovim izolacijskim cijevima ili samoljepivim izolacijskim pločama, debljine 9mm. 
</t>
  </si>
  <si>
    <t>Dobava i montaža kromiranih revizionih vratašca za ugradnju u zid s okvirom i bravicom za otvaranje sa četvrtastim ključem. Sve komplet.</t>
  </si>
  <si>
    <t>vel. 30x30 cm</t>
  </si>
  <si>
    <t>Dobava i montaža mrežice veličine polja 1cm2 za montažu na kanalizacijsku vertikalu, za sprječavanje upadanja krupnijeg otpada, ptica i glodavaca.</t>
  </si>
  <si>
    <t>sa priključkom DN 100</t>
  </si>
  <si>
    <t xml:space="preserve">Izvedba hidroizolacije oko proboja odzračnih vertikala na krov.  </t>
  </si>
  <si>
    <t>proboj do dimenzije DN100</t>
  </si>
  <si>
    <t xml:space="preserve">Dobava i montaža dozračnog ventila uključivo sav sitni i potrošni materijal koji je potreban za dovođenje stavke do potpune funkcionalnosti
</t>
  </si>
  <si>
    <t>sa priključkom DN50</t>
  </si>
  <si>
    <t xml:space="preserve">Dobava i montaža zidnog sifon za odvod kondenzata. 
</t>
  </si>
  <si>
    <t>Dobava i montaža privremenog građevinskog čepa za kanalizaciju od PP, za zatvaranje odvodnih priključaka u fazi gradnje.</t>
  </si>
  <si>
    <t>Dobava i ugradnja sabirnica za kišnicu DN100 sa zakretnim zglobom, hvatačem lišća, nesmrzavajućim zalopcem zadaha, zaklopcem otvora za čišćenje i dosjednim prstenima.  Postavljanje na oluke za odvodnju kišnice.</t>
  </si>
  <si>
    <t>Dobava i montaža požarnih obujmica F90 za montažu na kanalizacijske cijevi:</t>
  </si>
  <si>
    <t>a) DN32</t>
  </si>
  <si>
    <t>Funkcionalno ispitivanje unutarnjeg dijela kanalizacijske instalacije od strane ovlaštene organizacije, uz izdavanje uvjerenja</t>
  </si>
  <si>
    <t>B3</t>
  </si>
  <si>
    <t>Provjera ispravnosti montaže svih elemenata instalacije, provjera funkcionalnosti, pribavljanje dokaza o kvaliteti izvedenih radova na instalaciji, probno puštanje u rad i primopredaja.</t>
  </si>
  <si>
    <t>C</t>
  </si>
  <si>
    <t>UNUTARNJI VODOVOD</t>
  </si>
  <si>
    <t>C1</t>
  </si>
  <si>
    <t>BETONSKI RADOVI -  VODOVOD</t>
  </si>
  <si>
    <t>Izvedba šliceva u podu i zidu građevine za polaganje vodovodnih cijevi, te zatvaranje 
istih nakon montaže cijevi, cementnim  mortom 1:2. (kod križanja instalacija i spojevi na sanitarne uređaje - pretpostavljena količina)</t>
  </si>
  <si>
    <t>šlic vel. 7x5 cm</t>
  </si>
  <si>
    <t>C2</t>
  </si>
  <si>
    <t>VODOVODNI RADOVI</t>
  </si>
  <si>
    <t>a) DN15</t>
  </si>
  <si>
    <t>b) DN20</t>
  </si>
  <si>
    <t>c) DN25</t>
  </si>
  <si>
    <t>d) DN32</t>
  </si>
  <si>
    <t>Dobava i montaža: Izolacija toplih plastičnih vodovodnih cijevi gotovim izolacijskim cijevima.</t>
  </si>
  <si>
    <t>a) DN15 - izolacija 20mm</t>
  </si>
  <si>
    <t>b) DN20 - izolacija 20mm</t>
  </si>
  <si>
    <t>c) DN20 - izolacija 25mm</t>
  </si>
  <si>
    <t xml:space="preserve">Dobava i montaža: Izolacija hladnih vodovodnih cijevi gotovim  izolacijskim cijevima tipa 
</t>
  </si>
  <si>
    <t>U zidovima, podovima</t>
  </si>
  <si>
    <t>a) DN15 - izolacija 4mm</t>
  </si>
  <si>
    <t>b) DN20 - izolacija 4mm</t>
  </si>
  <si>
    <t>c) DN25 - izolacija 4mm</t>
  </si>
  <si>
    <t>d) DN32 - izolacija 4mm</t>
  </si>
  <si>
    <t>Dobava i montaža metalnih tankostijenih cijevi izrađenih iz  Inox čelika 1.4401 ili jednakovrijedno.
Dobava i montaža metalnih tankostijenih cijevi izrađenih iz  Inox čelika 1.4401 sukladno HRN EN 10312  ili jednakovrijedno (materijal br. EN 10088 ili jednakovrijedno s minimalnim udjelom Molibdena od 2,2-2,5%)  sa spajanjem ˝press˝ spojnim komadima iz Inox čelika 1.4401 (materijal EN 10088 ili jednakovrijedno),  za glavni i etažni razvod vodovoda. Stavka obuhvaća sve potrebne spojnice, redukcije, T-komade i potrebni pričvrsni i ovjesni materijal. Cijevi se isporučuju u palicama bez izolacije. Toplinsku izolaciju izvesti prema potrebi.  Sve komplet.
Stavka uključuje ugradu kompenzatora i čvrstih točaka na cijevi tople vode, svih nosača i obujmica sa gumenim ulošcima za sprečavanje prijenosa buke na okolnu konstrukciju.</t>
  </si>
  <si>
    <t>Obračun po m'</t>
  </si>
  <si>
    <t xml:space="preserve"> ZA HLADNU VODU</t>
  </si>
  <si>
    <t>a) ø18x1 (DN15)</t>
  </si>
  <si>
    <t>b) ø22x1 (DN20)</t>
  </si>
  <si>
    <t>c) ø28x1,5 (DN25)</t>
  </si>
  <si>
    <t xml:space="preserve"> ZA TOPLU VODU</t>
  </si>
  <si>
    <t>c) ø28x1,5  (DN25)</t>
  </si>
  <si>
    <t>Dobava i montaža ravnih propusnih ventila , za uzidanje s kapom.</t>
  </si>
  <si>
    <t>a) ventil Ø 20 mm</t>
  </si>
  <si>
    <t>Dobava i montaža kutnih ventila .</t>
  </si>
  <si>
    <t>a) ventil Ø 15 mm</t>
  </si>
  <si>
    <t>Dobava i montaža kuglastih ventila zajedno sa svim sitnim priborom za montažu.</t>
  </si>
  <si>
    <t>a) ventil Ø 15mm</t>
  </si>
  <si>
    <t>b) ventil Ø 20mm</t>
  </si>
  <si>
    <t>c) ventil Ø 25mm</t>
  </si>
  <si>
    <t>Dobava i montaža privremenog građevinskog čepa sa navojem od mesinga za provođenje tlačne probe cjevovoda. Čep za pritisak do 15 bar-a, samobrtveći sa ravnom brtvom i masivnim unutrašnjim imbusom SW12, plav ili crven.</t>
  </si>
  <si>
    <t>Dobava i montaža ventila za balansiranje protoka uključivo sa kompletnim sustavom za funkcioniranje i daljinskog nadgledanje sustava koji se sastoji od:</t>
  </si>
  <si>
    <t xml:space="preserve">Dobava i ugradnja termičkog balans ventila za sustave recirkulacije sanitarne tople vode  DN 15 Rp  1/2" ženski navoj, tip A, s mogućnosti podešavanja temperature povrata od 35 do 60 °C. Materijal certificiran za pitku vodu, tijelo ventila od RG5 bronce i mesing komponenti bez olova, unutarnji zaporni dio ventila od naprednodnog održivog polimera. 
</t>
  </si>
  <si>
    <t xml:space="preserve">Dobava i ugradnja uređaja za higijensko ispiranje sanitarnog cjevovoda.
Stupanj zaštite IP45
Nazivni napon 230 V AC
Radni napon 12 V DC
Frekvencija mreže 50 Hz
Potrošnja snage u stanju
mirovanja:1 W
Tlak protoka: 0.5–10 bar
Radna temperatura: 0–70 °C
Učin ispiranja po magnetnom
ventilu:10 l/min
Tvornička postavka
programiranog higijenskog
ispiranja:72 h
Tvornička postavka količine
programiranog higijenskog
ispiranja: 3-3,1 l
</t>
  </si>
  <si>
    <t>Stavka treba uključivati:
• Magnetni ventil sa sigurnosnim zatikom i graničnikom protoka
• Spojni komad
• Napajanje 230 V / 12 V / 50 Hz pomoću izlaznog kabla duljine 5
m
• Upravljačka jedinica
• Ugradni set
• Građevinska zaštita, može se skratiti
• Pričvrsni materijal</t>
  </si>
  <si>
    <t>Dobava i montaža čeličnih pocinčanih vodovodnih cijevi HRN C.B5. 225 ili jednakovrijedno komplet s pocinčanim fitinzima i ovjesnim i brtvenim priborom.  Sve komplet. (POŽARNI RAZVOD VODE)</t>
  </si>
  <si>
    <t>a) DN50</t>
  </si>
  <si>
    <t>Dobava i montaža hidrantskog ormarića  prema HR EN671-2 ili jednakovrijedno za ugradnju na zid, vel. 500x500x140 mm komplet sa ventilom DN52
uključivo:
tlačno trevira crijevo DN50 duljine 20 m,
mlaznica sa zasunom
kutni vatrogasni ventil sa stabilnom spojkom</t>
  </si>
  <si>
    <t>Brtvljenje vodovodnih cijevi na prolazima kroz požarne sektore, pastom požarne otpornosti EI90 prema požarnom elaboratu:</t>
  </si>
  <si>
    <t>DN15 - DN50</t>
  </si>
  <si>
    <t>Dezinfekcija kompletne unutarnje vodovodne mreže adekvatnim sredstvom za dezinfekciju prema uputstvu za dezinfekciju.</t>
  </si>
  <si>
    <t>Ispitivanje vodovodne mreže pod tlakom od 6, 10 i 15 bara.</t>
  </si>
  <si>
    <t>Bakteriološka analiza uzoraka vode iz cjevovoda nakon  dezinfekcije.</t>
  </si>
  <si>
    <t>C3</t>
  </si>
  <si>
    <t>D</t>
  </si>
  <si>
    <t>SANITARIJE</t>
  </si>
  <si>
    <t>-konzolne keramičke WC školjke I klase, min dužine 65cm, postavljene na visinu min 46cm,</t>
  </si>
  <si>
    <t xml:space="preserve">uključivo daska bez poklopca ali s naslonom bijele boje od kvalitetne plastike. </t>
  </si>
  <si>
    <t>montažnog instalacijskog elementa za WC školjku visine ugradnje 112 cm  s niskošumnim ugradbenim vodokotlićem za 6/3l ispiranje.  Instalacijski element je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prema uputama proizvođača. Element sadrži oslonce za montažu rukohvata s obje strane  i odgovarajuća tipka sa senzorom .</t>
  </si>
  <si>
    <t>-rukohvata obostrano (jedan fiksni, drugi podizni)</t>
  </si>
  <si>
    <t>-zidnog nosača od inoxa s WC četkom</t>
  </si>
  <si>
    <t xml:space="preserve">držača toalet papira od inoxa </t>
  </si>
  <si>
    <t xml:space="preserve">WC oznake EU Water Label (1. ili 2. razred potrošnje) ili jednakovrijedno. </t>
  </si>
  <si>
    <t>keramičkog  umivaonika posebne konstrukcije namijenjenog osobama u kolicima sa sifonom skrivenim u zidu</t>
  </si>
  <si>
    <t>montažnog instalacijskog elementa za bolnički umivaonik visine ugradnje 112 cm. Instalacijski element samonosiv za ugradnju u suhomontažnu zidnu ili predzidnu konstrukciju obloženu gipskartonskim pločama, komplet s  odvodnim koljenom d50 mm i ugradbenim sifonom, pločom s armaturnim priključcima ½" s uključenom zvučnom izolacijom, vijcima za učvršćenje keramike i svim potrebnim pričvrsnim priborom i spojnim materijalom;</t>
  </si>
  <si>
    <t>gibljivim zakretnim ogledalom s dva zgloba</t>
  </si>
  <si>
    <t>- 2 kutna ventila DN15 spojenim na dovod vode;</t>
  </si>
  <si>
    <t>Armatura oznake EU Water Label (1. ili 2. razred potrošnje) ili jednakovrijedno ima sistem uštede vode (potrošnja 5 l/min) i mogućnost ograničenja temperature vode.</t>
  </si>
  <si>
    <t xml:space="preserve">konzolne keramičke WC školjke I klase, za &lt;4,5lit ispiranje, odignute od poda  6 cm </t>
  </si>
  <si>
    <t xml:space="preserve">Uključivo daska s poklopcem bijele boje od kvalitetne plastike. </t>
  </si>
  <si>
    <t>montažnog instalacijskog elementa za WC školjku visine ugradnje 112 cm  s niskošumnim ugradbenim vodokotlićem. Tipka dvokoličinska plastična. Instalacijski element je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prema uputama proizvođača: uključiti odgovarajuću tipku</t>
  </si>
  <si>
    <t>*-keramičkog umivaonika  s poniklanim samočistećim sifonom s ispustom d32 mm
*-montažnog instalacijskog elementa za umivaonik visine ugradnje 112 cm. Instalacijski element samonosiv za ugradnju u suhomontažnu zidnu ili predzidnu konstrukciju obloženu gipskartonskim pločama, komplet s  odvodnim koljenom d50 mm i sifonskom brtvom 44/32 mm, pločom s armaturnim priključcima ½" s uključenom zvučnom izolacijom, vijcima za učvršćenje keramike i svim potrebnim pričvrsnim priborom i spojnim materijalom;</t>
  </si>
  <si>
    <t xml:space="preserve">• jednoručne  stojeće mješajuće baterije za THV Ø15mm uključivo i kutne ventile za THV
• kutnim ventilima (spoj na vodovod) sa ukrasnom kapom i rozetom 
• svim potrebnim priborom za brtvljenje i montažu
</t>
  </si>
  <si>
    <t>Armatura oznake EU Water Label (1. ili 2. razred potrošnje) ili jednakovrijedno ima sistem uštede vode (potrošnja 5 l/min) i mogućnost ograničenja temperature vode .</t>
  </si>
  <si>
    <t>Dobava i ugradnja podne inox odvodne tuš kanalice  za prostor tuša. Visine ugradnje 65 mm s tvornički montiranom brtvenom manžetom, odvodna priključna cijev d40 mm. Tuš kanalica je dimenzije 30 - 90 cm te se može skratiti i  prilagoditi po visini i nagibu. Stavka uključuje pričvrsni, brtveni i spojni materijal potreban za ugradnju.</t>
  </si>
  <si>
    <t>Dobava i ugradnja zidne nadžbukne armature   u kompletu sa tuš konzolom. Za tuširanje se koristi cilinidrična tuš ručka sa eco smart tehnologijom 6l/min i mogućnošću ograničenja temperature vode . u kompletu sa nosačem dužine 65cm te fleksibilno crijevo dužine 1,60m .  Stavka uključuje pričvrsni, brtveni i spojni materijal potreban za ugradnju.</t>
  </si>
  <si>
    <t>-konzolnog keramičkog trokadera sa rešetkom.</t>
  </si>
  <si>
    <t>-montažnog instalacijskog elementa za  školjku Trokadera visine ugradnje 171 cm  s niskošumnim ugradbenim vodokotlićem za 6/3l ispiranje, izrađenim prema HRN EN 14055:2011 ili jednakovrijednim . Instalacijski element je samonosiv za ugradnju u suhomontažnu zidnu ili predzidnu konstrukciju obloženu gipskartonskim pločama, komplet s integriranim kutnim ventilom priključka vode ½", niskošumnim uljevnim ventilom, odvodnim koljenom d90/110 mm sa zvučno izoliranom ubujmicom, spojnim komadom za  školjku s brtvenim manžetama i setom zvučne izolacije, vijcima za učvršćenje keramike i svim potrebnim priborom za ugradnju prema uputama proizvođača.</t>
  </si>
  <si>
    <t>-odgovarajuća metalna tipka s dodatnim fiksiranjem.</t>
  </si>
  <si>
    <t>-jednoručne mješalice</t>
  </si>
  <si>
    <t>-dobava, prijenos i ugradnja</t>
  </si>
  <si>
    <t xml:space="preserve">-konzolnog keramičkog pisoara od sanitarne keramike dimenzije 36 x 37 x 61 cm, model s dovodom odostraga te odvodom prema natrag. </t>
  </si>
  <si>
    <r>
      <t xml:space="preserve">-montažnog instalacijskog elementa za pisoar s skrivenim ulazom vode i raspršivačem, visine ugradnje 112-130 cm. Instalacijski element samonosiv za ugradnju u suhomontažnu zidnu ili predzidnu konstrukciju obloženu gipskartonskim pločama, komplet s integriranom fleksibilnom cijevi i priključkom na raspršivač vode ½", vijcima za učvršćenje keramike i svim potrebnim pričvrsnim priborom i spojnim materijalom.                                             </t>
    </r>
    <r>
      <rPr>
        <b/>
        <sz val="11"/>
        <rFont val="Calibri"/>
        <family val="2"/>
        <charset val="238"/>
        <scheme val="minor"/>
      </rPr>
      <t>NAPOMENA: Sve tehničke karakteristike mogu odstupati +/- 5%</t>
    </r>
    <r>
      <rPr>
        <sz val="11"/>
        <rFont val="Calibri"/>
        <family val="2"/>
        <charset val="238"/>
        <scheme val="minor"/>
      </rPr>
      <t xml:space="preserve">
</t>
    </r>
  </si>
  <si>
    <t xml:space="preserve">PISOAR oznake EU Water Label (1. ili 2. razred potrošnje) ili jednakovrijedno. </t>
  </si>
  <si>
    <t>Dobava i montaža sanitarnog  pribora:</t>
  </si>
  <si>
    <t>E</t>
  </si>
  <si>
    <t>Izrada tehničke dokumentacije izvedenog stanja koju potpisuju izvođač i nadzor i predaja investitoru u 3 uvezana primjerka. Uz papirnatu verziju, predaje se i jedan primjerak u elektroničkom obliku/CD (standardni formati datoteka .doc .xls i .dwg)</t>
  </si>
  <si>
    <t>Pripremno - završni radovi uključivo upoznavanje sa objektom, kontakti sa nadzornom službom, usklađivanje sa ostalim sudionicima u gradnji o položaju elemenata sistema, te vođenje dokumentacije gradilišta.</t>
  </si>
  <si>
    <t>Primopredaja izvedenih radova, izrada uputa za rad i održavanje, izrada shema izvedenog stanja, signalno obilježavanje vodova i opreme, te potrebni natpisi upozorenja i obavještenja.</t>
  </si>
  <si>
    <t>Geodetsko snimanje postojećih i snimanj postojećih instalacija CCTV kamerom instalacija na parceli i predaja u .dwg i .pdf formatu</t>
  </si>
  <si>
    <t>B4</t>
  </si>
  <si>
    <t>B5</t>
  </si>
  <si>
    <t>B6</t>
  </si>
  <si>
    <t>B7</t>
  </si>
  <si>
    <t>D1</t>
  </si>
  <si>
    <t>D2</t>
  </si>
  <si>
    <t>D3</t>
  </si>
  <si>
    <t>F</t>
  </si>
  <si>
    <t xml:space="preserve">Dobava i montaža PP niskošumnih kanalizacijskih cijevi (prema EN ISO/IEC 17025 ili jednakovrijedno i DIN 4109 ili jednakovrijedno), te odgovarajućih fazonskih komada za vertikalnu kanalizaciju. Spajanje cijevi izvoditi usađivanjem u naglavke s gumenim prstenima. 
</t>
  </si>
  <si>
    <r>
      <t xml:space="preserve">Dobava i montaža samoljepljive izolacijske cijevi izrađene iz spužvastog materijala na bazi sintetskog kaučuka.
</t>
    </r>
    <r>
      <rPr>
        <sz val="11"/>
        <rFont val="Calibri"/>
        <family val="2"/>
        <charset val="238"/>
        <scheme val="minor"/>
      </rPr>
      <t xml:space="preserve">Dobava i montaža samoljepljive izolacijske cijevi izrađene iz spužvastog materijala na bazi sintetskog kaučuka, toplinske vodljivosti do 0,040 W/m/K, prema DIN  52613 ili jednakovrijedno, klasa zapaljivosti – teško zapaljiv prema DIN 4102-B1 ili jednakovrijedno, samogasiv, nekapajući i neprenosi vatru, slijedećih dimenzija i količina.
</t>
    </r>
  </si>
  <si>
    <r>
      <t xml:space="preserve">Dobava, prijenos i montaža </t>
    </r>
    <r>
      <rPr>
        <b/>
        <sz val="11"/>
        <rFont val="Calibri"/>
        <family val="2"/>
        <charset val="238"/>
        <scheme val="minor"/>
      </rPr>
      <t>kompletnog WC-a</t>
    </r>
    <r>
      <rPr>
        <sz val="11"/>
        <rFont val="Calibri"/>
        <family val="2"/>
        <charset val="238"/>
        <scheme val="minor"/>
      </rPr>
      <t xml:space="preserve"> </t>
    </r>
    <r>
      <rPr>
        <b/>
        <sz val="11"/>
        <rFont val="Calibri"/>
        <family val="2"/>
        <charset val="238"/>
        <scheme val="minor"/>
      </rPr>
      <t>za osobe smanjene pokretljivosti</t>
    </r>
    <r>
      <rPr>
        <sz val="11"/>
        <rFont val="Calibri"/>
        <family val="2"/>
        <charset val="238"/>
        <scheme val="minor"/>
      </rPr>
      <t>,  koji se sastoji od:</t>
    </r>
  </si>
  <si>
    <r>
      <t xml:space="preserve">Dobava, prijenos i montaža </t>
    </r>
    <r>
      <rPr>
        <b/>
        <sz val="11"/>
        <rFont val="Calibri"/>
        <family val="2"/>
        <charset val="238"/>
        <scheme val="minor"/>
      </rPr>
      <t>kompletnog Trokadera</t>
    </r>
    <r>
      <rPr>
        <sz val="11"/>
        <rFont val="Calibri"/>
        <family val="2"/>
        <charset val="238"/>
        <scheme val="minor"/>
      </rPr>
      <t xml:space="preserve"> ,  koji se sastoji od:</t>
    </r>
  </si>
  <si>
    <t>REKAPITULACIJA RADOVA VODOVODA I ODVODNJE</t>
  </si>
  <si>
    <t>KUĆNI PRIKLJUČAK PLINA</t>
  </si>
  <si>
    <t>A1</t>
  </si>
  <si>
    <t>KUĆNI PRIKLJUČAK - građevinski radovi</t>
  </si>
  <si>
    <t>Sve zemljane radove izvoditi u skladu sa OTU (opći tehnički uvjeti) za zemljane radove koje izdaju Hrvatske ceste (javno dostupno na internet stranicama)-Knjiga II (zemljani radovi). Obračun po m3 u sraslom stanju, m2 ortog. projekcije i m' dužine.</t>
  </si>
  <si>
    <t>Snimanje i utvrđivanje točnog položaja i dubine postojećih podzemnih instalacija i postojećeg distribucijskog plinovoda prema podacima nadležnih organizacija, na lokaciji izgradnje kućnog priključka.</t>
  </si>
  <si>
    <t>Geodetsko iskolčenje trase novog priključnog plinovoda</t>
  </si>
  <si>
    <t>Iskop rova prosječne širine 0,5 m, dubine prosječno 1,2 m, u tlu III kategorije</t>
  </si>
  <si>
    <t>Proširenje rova oko postojećeg plinovoda radi mogućnosti spajanja novog plinskog priključka.</t>
  </si>
  <si>
    <t>Grubo planiranje dna rova prije ugradnje pijeska.</t>
  </si>
  <si>
    <t>Izvedba pješčane podloge po dnu rova u debljini 15 cm i oko cijevi u sloju do 15 cm</t>
  </si>
  <si>
    <t>Postavljanje žute trake za označavanje trase plinovoda sa natpisom “POZOR – PLINOVOD“ i vodljivom žicom za detekciju trase prema uvjetima distributera plina.</t>
  </si>
  <si>
    <t>Zatrpavanje rova zemljom od iskopa sa razastiranjem i nabijanjem u slojevima od 30 cm. Zemljište dovesti u prvobitno stanje</t>
  </si>
  <si>
    <t>Odvoz viška zemljanog materijala preostalog od iskopa na deponiju.</t>
  </si>
  <si>
    <t>Geodetsko snimanje izvedene instalacije nakon polaganja razvoda, te unos u katastar instalacija</t>
  </si>
  <si>
    <t>Strojarsko snimanje izvedene instalacije nakon polaganja i izgradnje.</t>
  </si>
  <si>
    <t>A2</t>
  </si>
  <si>
    <t>KUĆNI PRIKLJUČAK - strojarski radovi</t>
  </si>
  <si>
    <t>Demontaža odvoz i zbrinjavanje postojećeg plinomjera, prema uputama i smjernicama GPZ-a.</t>
  </si>
  <si>
    <t>G-25 bez temperatornog kompenzatora</t>
  </si>
  <si>
    <t>Umrtvljenje postojećeg kućnog priključka Pe d32 na priključku kompleksa, prije radova rušenja postojeće građevine.</t>
  </si>
  <si>
    <t>Pe d32</t>
  </si>
  <si>
    <t>Dobava i ugradnja cijevi od tvrdog polietilena prema ISO 4437 ili jednakovrijednom, kvalitete PE 100, SDR 11 , za radni tlak do 10 bara sa potrebnim spojnim i montažnim materijalom. Ispitivanje istih na nepropusnost i čvrstoču zavarenih spojeva te popravak oštećenih mjesta.</t>
  </si>
  <si>
    <t>PE d32</t>
  </si>
  <si>
    <t>Dobava i montaža spojnih i fazonskih komada PE:</t>
  </si>
  <si>
    <t xml:space="preserve"> -sedlo za spoj pod tlakom: PE d90/d32</t>
  </si>
  <si>
    <t xml:space="preserve"> -prijelazni komad: PE/Č d32/DN25</t>
  </si>
  <si>
    <t xml:space="preserve"> -spojnica: PE d32</t>
  </si>
  <si>
    <t>Dobava i montaža čeličnog plinovoda za polaganje u zemlju i zid prema HRN C.B5.221, HRN C.B5.225, HRN C.B5.021 ili jednakovrijednim, sa standardni cijevni lukovi HRN M.B6.821 ili jednakovrijednim,  uključujući čišćenje površine do metalnog sjaja, čišćenje unutrašnjosti cijevi, nanošenje osnovnog premaza (bitumena), namatanje izolacijske trake s min. prekrivanjem 50%, ispitivanje izolacije, popravak oštećenih mjesta i ponovno ispitivanje, dimenzija</t>
  </si>
  <si>
    <t>33,7 x 2,6 (DN 25)</t>
  </si>
  <si>
    <t>Dobava i montaža plinskog kuglastog ventila, zajedno sa spojnim, brtvenim i montažnim materijalom te prirubnicama i brtvama, dimenzije</t>
  </si>
  <si>
    <t>DN25 - prirubnički</t>
  </si>
  <si>
    <t>Dobava i montaža izolacijskog elementa (dielektrične prirubnice), zajedno sa spojnim, brtvenim i montažnim materijalom, dimenzije</t>
  </si>
  <si>
    <t>DN25</t>
  </si>
  <si>
    <t>Dobava i ugradnja plinskog zidnog ormara za smještaj glavnog ventila i regulacijskog uređaja, zajedno sa spojenim i montažnim mateijalom.</t>
  </si>
  <si>
    <t>400x600x250 mm</t>
  </si>
  <si>
    <t>Ličenje nadzemnog dijela plinovoda i armature jednim slojem temeljne boje, uz prethodno čišćenje do metalnog sjaja, ukupne površine</t>
  </si>
  <si>
    <t>Ispitivanje kućnog priključka inertnim plinom   ili zrakom s trajanjem prema propisima</t>
  </si>
  <si>
    <t>Kontrola plinske instalacije od strane distributera plina</t>
  </si>
  <si>
    <t>Sanacija oštećenih površina nastalih prilikom izvođenja instalacije.</t>
  </si>
  <si>
    <t>Sitni potrošni materijal potreban za izvođenje instalacije</t>
  </si>
  <si>
    <t>Transport alata i materijala na gradilište, te povrat alata s gradilišta</t>
  </si>
  <si>
    <t>NEMJERENI DIO PLINSKE INSTALACIJE</t>
  </si>
  <si>
    <t>Dobava i montaža plinskih bešavnih čeličnih cijevi prema  HRN EN 10216/1  ili jednakovrijednim, sa standardni cijevni lukovi HRN M.B6.821 ili jednakovrijednim,   s dodatkom na lukove, redukcije, odreske, zavarivački materijal i ovjesni materijal dimenzija</t>
  </si>
  <si>
    <t>42,4 x 2,6 (DN 32)</t>
  </si>
  <si>
    <t>Dobava i montaža plinskih bešavnih čeličnih cijevi prema  HRN EN 10216/1 ili jednakovrijednim, sa standardni cijevni lukovi HRN M.B6.821 ili jednakovrijednim,   s dodatkom na lukove, redukcije, odreske, zavarivački materijal i ovjesni materijal.
Cijevi voditi podžbukno ili u rabiciranoj gredi, te u cijenu uključiti sustav zaštite instalacija  vođenih  podžbukno proizvod kao POLYKEN ili jednakovrijedno.</t>
  </si>
  <si>
    <t>Dobava i montaža plinskog kuglastog ventila, zajedno sa spojnim, brtvenim i montažnim materijalom, dimenzije</t>
  </si>
  <si>
    <t>DN32 - navojni</t>
  </si>
  <si>
    <t>Dobava i ugradnja plinskog regulatora tlaka tip kao ELSTER M2R 25 F, zajedno sa svim potrebnim spojnim i montažnim materijalom. Regulator tlaka mora biti vatrootporan i baždaren i sljedećih tehničkih karakteristika:</t>
  </si>
  <si>
    <t>Dobava i montaža plinskog brojila na mijeh tip G-10, s radijskim daljinskim očitanjem, zajedno s potrebnim spojnim i montažnim materijalom, tehničkih karakteristika:</t>
  </si>
  <si>
    <t>DN32
Plinomjer mora biti vatrootporan i baždaren.</t>
  </si>
  <si>
    <t>Bušenje prodora za prolaz plinske cijevi kroz zid u cijenu je uračunata pripadajuća zaštitna cijev. Dimenzija plinske cijevi:</t>
  </si>
  <si>
    <t>DN32</t>
  </si>
  <si>
    <t>Ispitivanje plinovoda (niskotlačna instalacija) inertnim plinom   ili zrakom s trajanjem prema propisima</t>
  </si>
  <si>
    <t>MJERENI DIO PLINSKE INSTALACIJE</t>
  </si>
  <si>
    <t>Dobava i montaža plinskog kuglastog ventila, zajedno sa spojnim i montažnim materijalom, dimenzije</t>
  </si>
  <si>
    <t>Bušenje prodora za prolaz plinske cijevi kroz zid u cijenu je uračunata zaštitna cijev. Dimenzija plinske instalacije.</t>
  </si>
  <si>
    <t>Protupožarno brtvljenje prodora klasom otpornosti EI90.</t>
  </si>
  <si>
    <t>Ispitivanje plinovoda (niskotlačna instalacija) inertnim plinom ili zrakom s trajanjem prema propisima</t>
  </si>
  <si>
    <t>Oprema za grijanje i PTV</t>
  </si>
  <si>
    <t>Dobava i ugradnja plinskog kondenzacijskog aparata za grijanje i pripremu PTV tip kao Vaillant, zajedno sa spojnim i montažnim materijalom. Tip uređaja:</t>
  </si>
  <si>
    <t>Vaillant ecoTEC exclusive VC 466 / 2-E 
nazivne snage 48 kW</t>
  </si>
  <si>
    <t>revizijsko koljeno 90°</t>
  </si>
  <si>
    <t>koljeno 90°</t>
  </si>
  <si>
    <t>koncentrična cijev 1 m</t>
  </si>
  <si>
    <t>okomiti dimovod sa završetkom 1,45 m</t>
  </si>
  <si>
    <t xml:space="preserve"> obujmica za kosi krov</t>
  </si>
  <si>
    <t>Dobava i ugradnja regulacije ovisne o vanjskoj temperaturi zajedno sa vanjskim osjetnikom tip kao Vaillant. U cijenu je potrebno uračunati i ožičenje. Regulacija se ugrađuje u aparat. Tip :</t>
  </si>
  <si>
    <t xml:space="preserve"> - multiMATIC 700</t>
  </si>
  <si>
    <t>Puštanje u pogon plinskog aparata od strane ovlaštenog servisera, uz davanje potrebne atestne i garancijske dokumentacije te uputa za upotrebu, sve na hrvatskom jeziku.</t>
  </si>
  <si>
    <t xml:space="preserve">Dobava i ugradnja PP cijevi  za odvod kondenzata sa plinskog kondenzacijskog uređaja u odvod, zajedno sa spojnim i montažnim materijalom.  </t>
  </si>
  <si>
    <t>PP ∅32</t>
  </si>
  <si>
    <t>Dobava i ugradnja:</t>
  </si>
  <si>
    <t>Hidraulička skretnica, toplinski izolirana , ukljčujući spojnice, 1/2'' priključak za temperaturni osjetnik, odzraka s automatskim zapornim ventilom, ispust za čišćenje te priključcima pozalnih i povratnih vodova.</t>
  </si>
  <si>
    <t>U cijenu uključiti  sav potreban spojni i montažni materijal do potpune gotovosti.</t>
  </si>
  <si>
    <t>Priključak: DN 32
Protok: do 3,5 m3/h
Radni /ispitni tlak: 6/9 bar
Maks. radna temperatura: 90 °C</t>
  </si>
  <si>
    <t>Kombinirani polazno/povratni razdjelnik sa 2 kruga grijanja tip kao Maring HV 60/125</t>
  </si>
  <si>
    <t>U cijenu uključiti izolaciju, te sav potreban spojni i montažni materijal do potpune funkcionalnosti.</t>
  </si>
  <si>
    <t xml:space="preserve">Dobava i ugradnja prolaznog zapornog ventila za grijanje, zajedno sa spojnim i montažnim materijalom </t>
  </si>
  <si>
    <t>DN20 - navojni</t>
  </si>
  <si>
    <t>DN25 - navojni</t>
  </si>
  <si>
    <t>DN40 - navojni</t>
  </si>
  <si>
    <t>Dobava i ugradnja nepovratnog ventila za grijanje, zajedno sa spojnim i montažnim materijalom.</t>
  </si>
  <si>
    <t xml:space="preserve">Dobava i ugradnja Y- filtera za ugradnju na cjevovod grijanja, zajedno sa spojnim i montažnim materijalom </t>
  </si>
  <si>
    <t xml:space="preserve">Dobava i ugradnja magnetskog hvataća nečistoća za grijanje, zajedno sa spojnim i montažnim materijalom </t>
  </si>
  <si>
    <t>Dobava i ugradnja visokoučinkovite optočne crpka s mokrim rotorom bez potrebe održavanja, sa navojnim ili prirubničkim spojem, sinkronim motorom prema ECM tehnologiji i integriranom elektronskom regulacijom snage za bezstepenu regulaciju diferencijalnog tlaka, sa visokim stupnjem iskoristivosti i visokim pokretnim momentom, uključujući automatsku funkciju deblokiranja, te sa svim spojnim i montažnim materijalom. Tip crpke kao:</t>
  </si>
  <si>
    <t>q=1 m3//h
dp 4m</t>
  </si>
  <si>
    <t>q=1 m3//h
dp 6m</t>
  </si>
  <si>
    <t>q=2 m3//h
dp 6m</t>
  </si>
  <si>
    <t>q=2,2 m3//h
dp 6m</t>
  </si>
  <si>
    <t xml:space="preserve">Dobava i montaža metalnih cijevi izrađenih iz nelegiranog čelika, galvansko pocinčanih sa zaštitnim slojem, sa spajanjem „press“ spojnih komada iz nelegiranog čelika i funkcijom „nestisnut propušta“, za razvod u zatvorenom sistemu  grijanja (temperatura do 100°C). Stavka obuhvaća sve potrebne spojnice, redukcije, T-komade i potrebni pričvrsni i ovjesni materijal. Cijevi se isporučuju u palicama bez izolacije. Toplinsku izolaciju izvesti prema potrebi. U slučaju dugotrajne izloženosti nenamjernom korozivnom mediju ili korozivnoj okolini sustavne cijevi i fitinge potrebno zaštiti od korozije. </t>
  </si>
  <si>
    <t xml:space="preserve">d  22x1,5 mm (DN 20) </t>
  </si>
  <si>
    <t xml:space="preserve">d  28x1,5 mm (DN 25) </t>
  </si>
  <si>
    <t xml:space="preserve">d  35x1,5 mm (DN 32) </t>
  </si>
  <si>
    <t xml:space="preserve">d  42x1,5 mm (DN 40) </t>
  </si>
  <si>
    <t xml:space="preserve">Dobava i ugradnja </t>
  </si>
  <si>
    <t xml:space="preserve">Akumulacijski spremnik za zagrijavanje potrošne tople vode, izrađen od čelika i emajliran s unutarnje strane, ugrađeni glatkocijevni emajlirani izmjenjivač topline(1 kom). 
Tehnički podaci:
- sadržaj vode      289 l
- radni/ispitni tlak  10/13 bara
- debljina izolacije  50 mm
- maksimalna radna   temperatura 95°C </t>
  </si>
  <si>
    <t>Proizvod kao Vaillant VIH R 300</t>
  </si>
  <si>
    <t>U cijenu uključiti sav potreban spojni i montažni materijal do potpune funkcionalnosti.</t>
  </si>
  <si>
    <t>Dobava i ugradnja cirkulacijske crpke za potrošnu toplu vodu u izvedbi s mokrim rotorom, s frekventnim pretvaračem ugrađenim na priključnoj kutiji motora crpke i rotorom elektromotora iz permanentnog magneta. Senzori diferencijalnog tlaka su ugrađeni u kućištu crpke. Kućište crpke je iz nehrđajućeg čelika. Uz crpku se isporučuje izolacijski set crpke za grijanje.
Upravljačka ploča je na priključnoj kutiji i crpka može raditi u režimu proporcionalnog diferencijalnog tlaka ili konstantnog diferencijalnog tlaka, sa konstantnim krivuljama, te u Autoadapt-u.</t>
  </si>
  <si>
    <t>Crpka GRUNDFOS ALPHA2 20-40 N 150 
Radno područje crpke:
Q = 0 - 2,5 m3/h
H = 0 - 4 m
Električni podaci:
Imax = 0,04 -0,18 A
U = 1 x 230 V
P = 3 – 18 W</t>
  </si>
  <si>
    <t xml:space="preserve">Dobava i ugradnja ventila sa zaštitom protiv zatvaranja za ugradnju prije ekspanzijske posude, zajedno sa spojnim i montažnim materijalom </t>
  </si>
  <si>
    <t xml:space="preserve">Dobava i ugradnja prolaznog zapornog ventila za PTV, zajedno sa spojnim i montažnim materijalom </t>
  </si>
  <si>
    <t xml:space="preserve">Dobava i ugradnja nepovratnog ventila za PTV, zajedno sa spojnim i montažnim materijalom </t>
  </si>
  <si>
    <t xml:space="preserve">Dobava i ugradnja sigurnosnog ventila,  zajedno sa potrebnim spojnim i montažnim materijalom </t>
  </si>
  <si>
    <t>DN25 - za grijanje</t>
  </si>
  <si>
    <t>DN25 - za PTV</t>
  </si>
  <si>
    <t xml:space="preserve">Dobava i ugradnja slavine za punjenje i pražnjenje sustava grijanja, zajedno sa spojnim i montažnim materijalom </t>
  </si>
  <si>
    <t>DN15</t>
  </si>
  <si>
    <t>Dobava i ugradnja ekspanzijske posude za grijanje zajedno sa, nosačima  te spojnim i montažnim materijalom. Volumen posude:</t>
  </si>
  <si>
    <t>24 litara</t>
  </si>
  <si>
    <t>Dobava i ugradnja ekspanzijske posude za sanitarnu vodu zajedno sa, nosačima  te spojnim i montažnim materijalom. Volumen posude:</t>
  </si>
  <si>
    <t>35 litara</t>
  </si>
  <si>
    <t xml:space="preserve">Dobava i montaža sigurnosne grupe hladne vode za PTV koja se sastoji od mjedenog ventila (1 kom), nepovratnog ventila (1 kom), filtera za vodu (1 kom), sigurnosnog ventila  (1 kom), manometra s manometarskom slavinom mjernog područja 0-10 bar   (1 kom), za spoj na instalaciju hladne vode, zajedno s potrebnim spojnim i montažnim materijalom. </t>
  </si>
  <si>
    <t>Dobava i ugradnja termometra okrugle izvedbe za mjerno područje 0-120 ºC zajedno sa spojnim i montažnim materijalom.</t>
  </si>
  <si>
    <t>Dobava i ugradnja manometra okrugle izvedbe za mjerno područje od 0-6 bar zajedno sa spojnim i montažnim materijalom.</t>
  </si>
  <si>
    <t>Dobava i ugradnja automatskog odzračnog lončića zajedno sa spojnim i montažnim materijalom.</t>
  </si>
  <si>
    <t>Punjenje sustava grijanja vodom, odzračivanje, hladna tlačna proba vodom tlaka 4 bara mjereno na najnižem mjestu instalacije,  popravak eventualno propusnih mjesta, te izradu izvješća o izvršenoj tlačnoj probi</t>
  </si>
  <si>
    <t>Topla proba sustava grijanja</t>
  </si>
  <si>
    <t>Izrada i montaža ovjesa i nosača kanala i cjevovoda izrađenih od profilnog čelika, uključivo vijčani materijal, materijal za varenje, te antikorozivnu zaštitu.</t>
  </si>
  <si>
    <t>Ožičenje kompletne automatike i svih elemenata strojarnice, zajedno sa potrebnim spojnim i montažnim materijalom do potpune funkcionalnosti.</t>
  </si>
  <si>
    <t>Instalacija grijanja</t>
  </si>
  <si>
    <t xml:space="preserve">d  15x1,2 mm (DN 12) </t>
  </si>
  <si>
    <t xml:space="preserve">d  18x1,2 mm (DN 15) </t>
  </si>
  <si>
    <t>Dobava i ugradnja cjevovoda PE-X za podni razvod radijatorskog grijanja. U cijenu je potrebno uračunati fitinge, dimenzija</t>
  </si>
  <si>
    <t>Φ16x2,0 i izolaciju debljine 5 mm</t>
  </si>
  <si>
    <t>Φ32x3,0</t>
  </si>
  <si>
    <t>Φ40x3,5</t>
  </si>
  <si>
    <t>Φ32x3,0 PEX</t>
  </si>
  <si>
    <t>Φ40x3,0 PEX</t>
  </si>
  <si>
    <t>Protupožarno brtvljenje prodora kroz koji prolaze cijevi grijanja. Brtvljenje mora biti izvedeno u klasi otpornosti EI90. U cijenu uključiti sav potreban spojni i montažni materijal.</t>
  </si>
  <si>
    <t>Dobava i ugradnja polazno povratnog razdjelnika tipa kao Thermotechnik TTO-Intera 55, komplet sa ventilima na ulazu i izlazu, te balansirajućim ventilima na polazno povratnim vodovima, zajedno sa euro spojnicama za spajanje na cijevnu mrežu grijanja, te sa svim spojnim i montažnim materijalom:</t>
  </si>
  <si>
    <t>7 - kruga</t>
  </si>
  <si>
    <t>9 - kruga</t>
  </si>
  <si>
    <t>11 - kruga</t>
  </si>
  <si>
    <t>Dobava i ugradnja podžbuknog ormarića za smještaj razdjelnika, tipa kao Thermotechnik UNI, zajedno sa spojnim i montažnim materijalom:</t>
  </si>
  <si>
    <t xml:space="preserve"> - za 7 krugova</t>
  </si>
  <si>
    <t xml:space="preserve"> - za 9 krugova</t>
  </si>
  <si>
    <t xml:space="preserve"> - za 10 krugova</t>
  </si>
  <si>
    <t xml:space="preserve"> - za 11 krugova</t>
  </si>
  <si>
    <t>Uštemavanje zidova  za ugradnju podžbuknog ormarića za razdjelnike, te naknadna sanacija.</t>
  </si>
  <si>
    <t>Dobava i montaža pločastih radijatora sa ugrađenim termostatskim ventilom proizvodnje kao Vogel&amp;Noot T6 sa srednjim priključkom, zajedno sa svim spojnim i montažnim materijalom, dimenzija:</t>
  </si>
  <si>
    <t>22 /600/400</t>
  </si>
  <si>
    <t>22 /600/600</t>
  </si>
  <si>
    <t>22 /600/800</t>
  </si>
  <si>
    <t>22 /600/1000</t>
  </si>
  <si>
    <t>22 /600/1200</t>
  </si>
  <si>
    <t>22 /600/1600</t>
  </si>
  <si>
    <t>22 /600/1800</t>
  </si>
  <si>
    <t>22 /600/2000</t>
  </si>
  <si>
    <t>22 /900/2000</t>
  </si>
  <si>
    <t>Dobava i ugradnja kutnog adaptera (H blok) za spoj razvodnog cjevovoda grijanja na pločaste radijatore zajedno sa euro spojnicama te sa montažnim materijalom, dimenzija</t>
  </si>
  <si>
    <t>Φ16</t>
  </si>
  <si>
    <t>Uštemavanje zidova za priključna mjesta radijatora, te naknadna sanacija.</t>
  </si>
  <si>
    <t>Dobava i ugradnja termostatskih glava za ugradnju na termostatske ventile, zajedno sa spojnim i montažnim materijalom</t>
  </si>
  <si>
    <t>Dobava i ugradnja prestrujnog ventila za ugradnju na instalacijugrijanja kod najudaljenijeg ogrjevnog tjela, zajedno sa potrebnim spojnim i montažnim materijalom.</t>
  </si>
  <si>
    <t>Dobava i ugradnja regulator diferencijalnog tlaka 10-60 kPa, zajedno sa spojnim i montažnim materijalom.</t>
  </si>
  <si>
    <t>Instalacija hlađenja</t>
  </si>
  <si>
    <t>Vanjska jedinica VRF sustava u izvedbi dizalice topline zrak/zrak. Osiguran je parcijalni defrost, a samim time i kontinuirano grijanje za vrijeme defrosta.</t>
  </si>
  <si>
    <t>DVM S2 vanjska jedinica u izvedbi dizalice topline zrak/zrak, odnosno zrak/voda u ovisnosti o tipu priključenih unutarnjih jedinica. Kod jedinica iz više modula osiguran je parcijalni defrost, a samim time i kontinuirano grijanje za vrijeme defrosta.</t>
  </si>
  <si>
    <t>Simultana i automatska promjena temperature isparavanja radnog medija prema temperaturi okoliša omogućuje dodatne uštede energije i veći komfor zbog viših temperatura istrujanog zraka. Jedinica je opremljena sa pločastim izmjenjivačem topline [intercooler] koji omogućuje značajno poboljšanje efikasnosti kako u hlađenju tako i u grijanju. Uređaj je opremljen s "pump out/down" funkcijom koja omogućuje jednostavno servisiranje pojedinih dijelova sustava. Uređaji su EUROVENT certificirani.</t>
  </si>
  <si>
    <t>Maksimalno dozvoljena udaljenosti: ukupno cijevni razvod do 1000 metara; najudaljenija dionica cjevovoda je 220 m; visinska razlika između vanjske i unutarnje jedinice iznosi 110 m, visinska razlika između pojedinih unutarnjih jedinica iznosi 50 m.</t>
  </si>
  <si>
    <t>Konstrukcija: Jedinice su modularne izvedbe sa osnovnim nosivim okvirom i galvaniziranim čeličnim panelima sa odgovarajućom zaštitom za vanjsku i unutarnju ugradnju. Do veličine 26HP jedinice mogu biti u izvedbi 1 modula, dok su veće sastavljene od dva, ili tri modula. Jedinica se standardno isporučuje sa zaštitnom mrežom izmjenjivača. Ventilatori su niskošumne izvedbe s DC kontinuiranom regulacijom brzine vrtnje. Raspoloživi eksterni statički tlak ventilatora je 110 Pa. Svi kompresori u uređaju su inverterski, zvučno izolirani SSC-tip hermetički scroll izvedbe s radnim područjem 15-150 Hz.</t>
  </si>
  <si>
    <t>Proizvod SAMSUNG DVM S2 tip AM160AXVAGH</t>
  </si>
  <si>
    <t>Jedinica je sastavljena iz jednog modula sljedećih tehničkih karakteristika:</t>
  </si>
  <si>
    <t>Tehničke karakteristike:</t>
  </si>
  <si>
    <t>Qh ukupno = 45,0 kW</t>
  </si>
  <si>
    <t>Priključna snaga:</t>
  </si>
  <si>
    <t>N ukupno = 13.56 kW    /   380-415 V, 3F, 50 Hz</t>
  </si>
  <si>
    <t>EER: 3,3 (100% opterećenja)</t>
  </si>
  <si>
    <t>Tv = 35°C ST</t>
  </si>
  <si>
    <t>Tp = 27°C ST, 46%RH</t>
  </si>
  <si>
    <t>SEER: 6,50</t>
  </si>
  <si>
    <t>Qg ukupno = 50,4 kW</t>
  </si>
  <si>
    <t>N ukupno = 12.63 kW    /   380-415 V, 3F, 50 Hz</t>
  </si>
  <si>
    <t>COP: 4,0 (100% opterećenja)</t>
  </si>
  <si>
    <t>Tv= 7°C ST</t>
  </si>
  <si>
    <t>Tp = 20°C ST</t>
  </si>
  <si>
    <t>SCOP: 4.30</t>
  </si>
  <si>
    <t>Raspoloživi kapacitet @ Tok = -15 °C</t>
  </si>
  <si>
    <t>Qg = 42,90 kW</t>
  </si>
  <si>
    <t>Radno područje (hlađenje): od -5° do 50°C</t>
  </si>
  <si>
    <t>Radno područje (grijanje): od -25° do 24°C</t>
  </si>
  <si>
    <t>Nivo zvučnog tlaka (hlađenje): 60 dB(A) na udaljenosti 1 m od jedinice</t>
  </si>
  <si>
    <t>Nivo zvučnog tlaka (grijanje): 62 dB(A) na udaljenosti 1 m od jedinice</t>
  </si>
  <si>
    <t>Dimenzije ukupno:</t>
  </si>
  <si>
    <t>d x š= 1295x765 mm; h = 1695 mm</t>
  </si>
  <si>
    <t>Masa ukupno: 242 kg</t>
  </si>
  <si>
    <t>Dobava i ugradnja betonskog postolja za ugradnju vansjke jedinice VRF sustava. Postolje minimalne visine 30cm od kote ravnog terena. Točan tip armiranja, betona i dimenzija uskladiti sa proizvođačem isporučene opreme.
težina uređaja: 600 kg</t>
  </si>
  <si>
    <t>Unutarnje jedinice</t>
  </si>
  <si>
    <t>Windfree unutarnja jedinica DVM S sustava kazetne izvedbe sa modernim dekorativnim Wind-Free panelom PC4SUFMANW sa istrujavanjem zraka u 4 smjera. Jedinica predviđena za montažu unutar stropa, opremljena ventilatorom, izmjenjivačem topline s direktnom ekspanzijom freona, pumpicom za odvod kondenzata, te svim potrebnim elementima za zaštitu, kontrolu i regulaciju uređaja i temperature. "Wind-Free" modeli unutarnjih jedinica omogućuju jednostavno hlađenje bez neugode izravnog strujanja hladnog zraka. Dvostupanjski sustav hlađenja prvo snižava temperaturu prostorije - “Fast Cooling”, a nakon što postigne željenu temperaturu stvara zrak koji miruje - “Wind-Free™” te na taj način smanjuje potrošnju energije. Uređaj je opremljen Wifi adapterom za upravljanje sustavom putem pametnog telefona ili tableta.</t>
  </si>
  <si>
    <t>Proizvod SAMSUNG tip AM015DNNDKGEU</t>
  </si>
  <si>
    <t>Tehničke karakteristike uređaja:</t>
  </si>
  <si>
    <t>Pri standardnim Eurovent uvjetima:</t>
  </si>
  <si>
    <t>Qh = 1,5 kW</t>
  </si>
  <si>
    <t>Qg = 1,7 kW</t>
  </si>
  <si>
    <t>Nivo zvučnog tlaka: 30 - 28 - 23 dBA</t>
  </si>
  <si>
    <t>Dimenzije kazete: 575 x 575 mm ; h = 250 mm</t>
  </si>
  <si>
    <t>Dimenzije panela: 620 x 620 mm ; h = 34 mm</t>
  </si>
  <si>
    <t>Masa: 11,5 kg + 2,7 kg</t>
  </si>
  <si>
    <t>Priključak R32/ R410A: tekuća faza: 6,35 mm</t>
  </si>
  <si>
    <t>Priključak R32/ R410A: plinovita faza: 12,7 mm</t>
  </si>
  <si>
    <t>Proizvod SAMSUNG tip AM022DNNDKGEU</t>
  </si>
  <si>
    <t>Qh = 2,20 kW</t>
  </si>
  <si>
    <t>Qg = 2,50 kW</t>
  </si>
  <si>
    <t>Nivo zvučnog tlaka: 32 - 29 - 25 dBA</t>
  </si>
  <si>
    <t>Masa: 11,6 kg + 2,7 kg</t>
  </si>
  <si>
    <t>Proizvod SAMSUNG tip AM036DNNDKGEU</t>
  </si>
  <si>
    <t>Qh = 3,60 kW</t>
  </si>
  <si>
    <t>Qg = 4,0 kW</t>
  </si>
  <si>
    <t>Nivo zvučnog tlaka: 34 - 30 - 26 dBA</t>
  </si>
  <si>
    <t>Proizvod SAMSUNG tip AM045DNNDKGEU</t>
  </si>
  <si>
    <t>Qh = 4,50 kW</t>
  </si>
  <si>
    <t>Qg = 5,0 kW</t>
  </si>
  <si>
    <t>Nivo zvučnog tlaka: 36 - 34 - 32 dBA</t>
  </si>
  <si>
    <t>Masa: 12 kg + 2,7 kg</t>
  </si>
  <si>
    <t>Unutarnja jedinica DVM S sustava sa maskom predviđena za montažu na pod ili zid, parapetne SLIM izvedbe sa maskom, opremljena ventilatorom, izmjenjivačem topline s direktnom ekspanzijom freona, elektronskim ekspanzijskim ventilom, te svim potrebnim elementima za zaštitu, kontrolu i regulaciju uređaja i temperature. U režimu grijanja uređaj ima istrujavanje pri podu čime je osigurana toplinska ugodnost pri podu prostorije.</t>
  </si>
  <si>
    <t>Proizvod SAMSUNG tip AM036FNJDEH</t>
  </si>
  <si>
    <t>Prema standardnim Eurovent uvjetima:</t>
  </si>
  <si>
    <t>Qh  = 3,6 kW</t>
  </si>
  <si>
    <t>N = 35 W - 230 V - 50 Hz</t>
  </si>
  <si>
    <t>Dimenzije: d x š = 720x199 mm; h = 620 mm</t>
  </si>
  <si>
    <t>Težina: 16 kg</t>
  </si>
  <si>
    <t>Medij:  R-410A</t>
  </si>
  <si>
    <t>Nivo zvučnog tlaka: 34/37/39 dB(A)</t>
  </si>
  <si>
    <t>Priključak R410A: tekuća faza: 6,35 mm</t>
  </si>
  <si>
    <t>Priključak R410A: plinovita faza: 12,7 mm</t>
  </si>
  <si>
    <t>Stavka uključuje isporuku bežičnog daljinskog upravljača s displejom i timerom.</t>
  </si>
  <si>
    <t>Proizvod SAMSUNG tip AM045KNJDEH</t>
  </si>
  <si>
    <t>Qh  = 4,5 kW</t>
  </si>
  <si>
    <t>N = 36 W - 230 V - 50 Hz</t>
  </si>
  <si>
    <t>Nivo zvučnog tlaka: 36 / 39 / 42 dB(A)</t>
  </si>
  <si>
    <t>Žičani elektronski prostorni regulator sa LCD displejom, pozadinskim osvjetljenjem i tjednim programskim satom za upravljanje i kontrolu do 16 unutarnjih VRF jedinica. Kontrola pristupa moguća je u tri nivoa sa mogućnošću ograničavanja pristupa korisnika. Funkcije: on/off, režim rada, set point, brzina ventilatora, pozicija lamela, postavke ESP, pojedinačno podešavanje za jedinice u grupi, signalizacija greške, signalizacija zaprljanosti filtera, tjedni program rada.</t>
  </si>
  <si>
    <t>Proizvod SAMSUNG tip MCM-A300BN</t>
  </si>
  <si>
    <t>Touch Centralised Controller (centralni nadzorno upravljački sustav) za regulaciju do 128 grupa unutarnjih jedinica DVM S sustava. Regulator je predviđen za montažu na zid i spaja se na vanjske DVM S jedinice.</t>
  </si>
  <si>
    <t>Mogućnosti kontrole: on / off, režim rada, setpoint, brzina ventilatora i pozicija istrujnih lamela, grupno ili individualno upravljanje (on/off, režim i setpoint), regulacija temperature, kalendar, tjedni i dnevni programi  ograničavanje pristupa elektronskim upravljačima u sobama, ograničavanje temperaturnog raspona.</t>
  </si>
  <si>
    <t>Mogućnost udaljenog upravljanja putem računala ili tableta koristeći Ethernet komunikaciju, podržano na LAN-u.</t>
  </si>
  <si>
    <t>Mogućnosti nadzora: grafički prikaz na računalu, rad unutarnjih i vanjskih jedinica, signalizacija greške, signalizacija zaprljanosti filtera na unutarnjim jedinicama, različite razine pristupa.</t>
  </si>
  <si>
    <t>Mogućnost grafičkog praćenja potrošnje energije i kvalitete zraka (PM1.0 / 2.5 / 10)</t>
  </si>
  <si>
    <t>Postavljanje pozadine zaslona za bolje uklapanje u prostor.</t>
  </si>
  <si>
    <t>Uređaj omogućuje zoniranje više temperaturnih zona za simultano upravljanje postavkama. Postavljanje 50 različitih tjednih rasporeda za svaku unutarnju jedinicu</t>
  </si>
  <si>
    <t>Dimenzije: 246 x 165 x 31 mm</t>
  </si>
  <si>
    <t>Dijagonala zaslona: 10.1"</t>
  </si>
  <si>
    <t>Rezolucija zaslona: 1280 x 800 piksela</t>
  </si>
  <si>
    <t>Napajanje: 100-240 V; 50/60 Hz</t>
  </si>
  <si>
    <t>Broj DI/DO: 2/2</t>
  </si>
  <si>
    <t>Maks. duljina kom. linije: 1000m</t>
  </si>
  <si>
    <t>Izolirani bakreni spojni elementi za razvod medija R-410A za plinsku i tekuću fazu, uključivo redukcije (2 komada po kompletu: plinska + tekuća faza)</t>
  </si>
  <si>
    <t>Zajedno sa potrebnim spojnim i montažnim materijalom do potpune funkcionalnosti uređaja i sustava.</t>
  </si>
  <si>
    <t>Y-Račve:</t>
  </si>
  <si>
    <t>Račva  15 / 09 mm</t>
  </si>
  <si>
    <t>Račva  25 / 12 mm</t>
  </si>
  <si>
    <t>Račva  28 / 12 mm</t>
  </si>
  <si>
    <t>Točne tipove račni usuglasiti sa proizvođačem opreme.</t>
  </si>
  <si>
    <t>Dobava i montaža do potpune funkcionalnosti bakrenih cijevi u kolutu ili šipci za freonsku instalaciju plinske i tekuće faze namjenjene za rashladni medij R-410A. U cijeni sa spojnicama i koljenima, spojnim i pričvrsnim materijalom, ovjesom te potreban materijal za spajanje.</t>
  </si>
  <si>
    <t xml:space="preserve"> Φ 6,4 mm</t>
  </si>
  <si>
    <t xml:space="preserve"> Φ 12,7 mm</t>
  </si>
  <si>
    <t xml:space="preserve"> Φ 15,9 mm</t>
  </si>
  <si>
    <t xml:space="preserve"> Φ 19,1mm</t>
  </si>
  <si>
    <t xml:space="preserve"> Φ 22,2 mm</t>
  </si>
  <si>
    <t xml:space="preserve"> Φ 28,6 mm</t>
  </si>
  <si>
    <t xml:space="preserve"> Φ 34,9 mm</t>
  </si>
  <si>
    <t>Dobava i montaža do potpune funkcionalnosti toplinske izolacije bakrenih cijevi rashladnog medija s parnom branom. Debljina izolacije je 13 mm, Za dimenziju cijevi:</t>
  </si>
  <si>
    <t>Dobava i punjenje rashladnog medija R410A za punjenje VRF sustava.</t>
  </si>
  <si>
    <t>Puštanje u pogon SAMSUNG Touch Panel</t>
  </si>
  <si>
    <t>Programiranje i puštanje u pogon Samsung Touch Panel centralnog upravljačkog sustava i mikroprocesorskog regulatora od strane ovlaštenog servisa:</t>
  </si>
  <si>
    <t>Puštanje u pogon VRF sustava</t>
  </si>
  <si>
    <t>Puštanje u pogon VRF sustava uključivo provjeru nepropusnosti freonske instalacije, vakumiranje i dopunjavanje rashladnog sredstva od strane ovlaštenog servisa uz izdavanje potrebnih uputa za korištenje, atesta i garancija. Puštanje u pogon ne sadrži spajanje cijevi i struje kao niti radnu tvar.</t>
  </si>
  <si>
    <t>Dobava i ugradnja PP cijevi za odvod kondenzata zajedno sa spojnim i montažnim materijalom, dimenzija:</t>
  </si>
  <si>
    <t>PP Ø32</t>
  </si>
  <si>
    <t>Puštanje u pogon kompletne automatike VRF sustava, zajedno sa potrebnim ožičenjem, sve do potpune fuinkcionalnosti, od strane ovlaštenog servisa uz izdavanje potrebnih uputa za korištenje, atesta i garancija.</t>
  </si>
  <si>
    <t>Nadzor nad ugradnjom VRF sustava od tehničkog predstavnika proizvođača opreme.</t>
  </si>
  <si>
    <t>Sudjelovanje u nadzoru i tehničkoj podršci montaže VRF sustava od strane tehničkog predstavnika proizvođača opreme.</t>
  </si>
  <si>
    <t>Stavka uključuje tri izlazaka na gradilište a u svrhu kontrole i poboljšanja kvalitete instalacije. Preporuka je da se prvi izlazak izvrši prije početka montaže, jedan pregled u tijeku montaže i jedan pregled nakon završene montaže a prije puštanja u pogon. Za svaki pregled će se izvršiti zapisnik s uočenim nedostacima i isti će biti predan naručitelju.</t>
  </si>
  <si>
    <t>Ispuhivanje cijevnog razvoda te tlačna proba sa N2 (dušik) na 33 bara u trajanju 24 sati, vakumiranje cijevnog razvoda, sa nadopunjavanjem ekološkog plina R 410 A prema uputama proizvođaća, uz prethodnu obavijest nadzornom inženjeru za strojarske instalacije</t>
  </si>
  <si>
    <t>Oslonci, konzole, ovjesi i ostali pribor za vođenje, oslanjanje i ovješenje cjevovoda, i opreme izrađeni iz tipskih elemenata,prema prethodnoj razradi i detaljnoj specifikaciji izrađenoj od strane proizvođača, što je uključeno u stavku. Kompletan materijal iz ove stavke isporučuje se na gradilište pocinčan radi zaštite od korozije.</t>
  </si>
  <si>
    <t>Instalacija hlađenja - split - el. Sobe</t>
  </si>
  <si>
    <t>Dobava i montaža vanjske i unutarnje klima mono split jedinice, zajedno sa  svim potrebnim spojnim i montažnim materijalom.</t>
  </si>
  <si>
    <t>Vanjska jedinica monosplit sustava u izvedbi dizalice topline zrak/zrak namijenjena za spoj na jednu unutarnju jedinicu. Uređaj je namijenjen za vanjsku montažu - zaštićen od vremenskih utjecaja, s ugrađenim hermetičkim DC inverter kompresorima,  zrakom hlađenim kondenzatorom i svim potrebnim elementima za zaštitu, kontrolu i regulaciju uređaja i funkcionalni rad. Rashladni medij R32.</t>
  </si>
  <si>
    <t>Istrujavanje zraka je horizontalno što omogućuje jednostavnu ugradnju u arhitektonske niše i fasadno na konzole.</t>
  </si>
  <si>
    <t>Unutarnja jedinica monosplit sustava "Wind Free" izvedbe modernog dizajna s perforiranom maskom predviđena za  montažu na zid, opremljena ventilatorom, izmjenjivačem topline s direktnom ekspanzijom freona, elektronskim ekspanzijskim ventilom, te svim potrebnim elementima za zaštitu, kontrolu i regulaciju uređaja i temperature. "Wind-Free"" modeli unutarnjih jedinica omogućuju jednostavno hlađenje bez neugode izravnog strujanja hladnog zraka. Dvostupanjski sustav hlađenja prvo snižava temperaturu prostorije - “Fast Cooling”, a nakon što postigne željenu temperaturu stvara zrak koji miruje - “Wind-Free™” te na taj način smanjuje potrošnju energije. Uređaj je standardno opremljen IC bežičnim upravljačem.</t>
  </si>
  <si>
    <t>Proizvod SAMSUNG tip AC052BXAPKG + AC052BNAPKG</t>
  </si>
  <si>
    <t>Tehničke karakteristike sustava:</t>
  </si>
  <si>
    <t>Napajanje: jednofazno, 220-240 V, 50 Hz</t>
  </si>
  <si>
    <t>Qh (min,nom,max) =1,50 / 5,00 / 7,30 kW</t>
  </si>
  <si>
    <t>N = 0,25 / 1,27 / 2,41 kW</t>
  </si>
  <si>
    <t>EER=3,94</t>
  </si>
  <si>
    <t>Qg (min,nom,max) = 1,00 / 6,00 / 9,40 kW</t>
  </si>
  <si>
    <t>N = 0,23 / 1,58 / 3,40 kW</t>
  </si>
  <si>
    <t>COP=3,80</t>
  </si>
  <si>
    <t>medij:  R32 (prednapunjen 1,70 kg)</t>
  </si>
  <si>
    <t>Priključak R32: tekuća faza: 6,35 mm</t>
  </si>
  <si>
    <t>Priključak R32: plinovita faza: 12,7 mm</t>
  </si>
  <si>
    <t>Duljina razvoda: do 50 m od čega visinski do 30 m.</t>
  </si>
  <si>
    <t>Radno područje - hlađenje: od -20° do 52 °C</t>
  </si>
  <si>
    <t>Radno područje - grijanje: od -25° do 24 °C</t>
  </si>
  <si>
    <t>Dimenzije unutarnje jedinice: 1055x215 mm; h=299 mm</t>
  </si>
  <si>
    <t>Težina unutarnje jedinice: 12,7 kg</t>
  </si>
  <si>
    <t>Nivo zvučnog tlaka unutarnje jedinice: (max / mid / min / silent): 42 / 37 / 32 / 25 dB(A)</t>
  </si>
  <si>
    <t>Dimenzije vanjske jedinice: 880x310 mm; h=798 mm</t>
  </si>
  <si>
    <t>Težina vanjske jedinice: 50,0 kg</t>
  </si>
  <si>
    <t>Nivo zvučnog tlaka vanjske jedinice: (hl / gr): 47 / 48 dB(A)</t>
  </si>
  <si>
    <t>Dobava i ugradnja nosača za vanjsku klima jedinicu koja će se ugraditi na pročelje zgrade zajedno sa spojnim i montažnim materijalom.</t>
  </si>
  <si>
    <t>Dobava i ugradnja toplinske izolacije cjevovoda odvoda kondnazata, s fleksibilnim crijevima od spužvastog materijala na bazi sintetičkog kaučuka (elastomer), zatvorene ćelijaste strukture, s pokrovom od polietilenske folije, slijedećih svojstava:
- koeficijent otpora difuziji vodene pare:  m = 7000
- vodljivost                                     l = 0,036 W/mK
- debljina                                       s=19 mm
za cijev:</t>
  </si>
  <si>
    <t>Dobava i ugradnja sifona za kondenzat zajedno sa spojnim i montažnim materijalom, dimenzija:</t>
  </si>
  <si>
    <t>Dobava i ugradnja predizoliranih bakrenih cijevi za spoj vanjskih i unutarnjih jedinica, zajedno sa spojnim i montažnim materijalom, dimenzija:</t>
  </si>
  <si>
    <t>∅ 6,4</t>
  </si>
  <si>
    <t>∅ 12,7</t>
  </si>
  <si>
    <t>Protupožarni brtvljenej prodora klasom EI90.</t>
  </si>
  <si>
    <t>∅ 6,4, 12,97 + međuveza</t>
  </si>
  <si>
    <t>Vakumiranje cjevovoda, ispitivanje instalacije te eventualno nadopunjavanje sustava plinom, spajanje na elektro instalaciju, puštanje u pogon sustava od strane ovlaštenog servisa uz davanje potrebne atestne i garancijske dokumentacije te uputa za upotrebu, sve na hrvatskom jeziku.</t>
  </si>
  <si>
    <t>Dopuna sustava radnom tvari:</t>
  </si>
  <si>
    <t>R32</t>
  </si>
  <si>
    <t>H</t>
  </si>
  <si>
    <t>Instalacija ventilacije</t>
  </si>
  <si>
    <t xml:space="preserve">Dobava i montaža: </t>
  </si>
  <si>
    <t>Kompaktna ventilacijska jedinica za dobavu i odis zraka, horizontalne "plug &amp; play" izvedbe za unutarnju ugradnju u kompletu s elektromotornim žaluzinama na svježem i otpadnom zraku, fleksibilnim priključcima, filtar na usisu svježeg zraka te na povratnom zraku iz prostora, elektrogrijača na svježm zraku, visokoučinkovitog pločastog rekuperatora, toplovodnog izmjenjivača za grijanje, tlačnog i odsisnog ventilatora s EC motorima.</t>
  </si>
  <si>
    <t>KUĆIŠTE izrađeno od sendvič panela 50 mm, zvučno i toplinski izolirano  kako bi se postigla extra niska razina buke te kako bi se toplinski gubici/dobici smanjili na minimum, a s vanjske strane obloženo poliesterskim prahom, s pločama na bočnoj i donjoj strani kako bi se omogućio što lakši servisni pristup unutrašnjosti jedinice za održavanje i druge potrebne radnje._x000D_
Minimalna mehanička svojstva kućišta prema normi EN1886</t>
  </si>
  <si>
    <t>Minimalna mehanička svojstva konstrukcije prema normi EN1886</t>
  </si>
  <si>
    <t>Čvrstoća: D2</t>
  </si>
  <si>
    <t>Propuštanje: L1</t>
  </si>
  <si>
    <t>Toplinski prijenos: T2</t>
  </si>
  <si>
    <t>Toplinski most: TB2</t>
  </si>
  <si>
    <t>Propuštanje koj 400 Pa: L1/L1(R)</t>
  </si>
  <si>
    <t>Propuštanje kod 700 Pa: L1/L2(R)</t>
  </si>
  <si>
    <t>Dimenzije DxŠxV: 1.590x1.225x385 mm</t>
  </si>
  <si>
    <t>Masa: 155 kg</t>
  </si>
  <si>
    <t>Strana prikljucka: DESNO</t>
  </si>
  <si>
    <t>Protok zraka na tlačnoj strani: 600 m³/h</t>
  </si>
  <si>
    <t>Brzina zraka na tlacnoj strani:  ≤1,42 m/s</t>
  </si>
  <si>
    <t>Protok zraka na odsisnoj strani: 600 m³/h</t>
  </si>
  <si>
    <t>Brzina zraka na odsisnoj strani: ≤1,42 m/s</t>
  </si>
  <si>
    <t>Dozvoljeni nivo zvučne snage:</t>
  </si>
  <si>
    <t>Usis svježeg zraka: 52 dB(A)</t>
  </si>
  <si>
    <t>Ubacivanje obrađenog zraka: 68 dB(A)</t>
  </si>
  <si>
    <t>Usis povratnog zraka iz prostora: 67 dB(A)</t>
  </si>
  <si>
    <t>Izbacivanje otpadnog zraka: 53 dB(A)</t>
  </si>
  <si>
    <t>Nivo zvučne snage mjereno na kućištu: 36 dB(A)</t>
  </si>
  <si>
    <t>Nivo zvučnog tlaka mjereno na udaljenosti 1m: 28 dB(A)</t>
  </si>
  <si>
    <t>Nivo zvučnog tlaka mjereno na udaljenosti 3m: 18 dB(A)</t>
  </si>
  <si>
    <t>Nivo zvučnog tlaka mjereno na udaljenosti 5m: 14 dB(A)</t>
  </si>
  <si>
    <t>Opis elemenata u smjeru strujanja zraka (TLAK)</t>
  </si>
  <si>
    <t>*Usis svježeg zraka u kompletu s elektromotornom zaklopkom i fleksibilnim priključcima</t>
  </si>
  <si>
    <t>*Panelni filter s mogućnošću izmjene s donje ili bočne strane ISO ePM1 55%</t>
  </si>
  <si>
    <t>* Integrirani elektrogrijač (pred-grijač)</t>
  </si>
  <si>
    <t>nominalna snaga: ≤ 1,02 kW</t>
  </si>
  <si>
    <t>maksimalna snaga: ≤ 2,3 kW</t>
  </si>
  <si>
    <t>*Pločasti rekuperator topline</t>
  </si>
  <si>
    <t>Protok zraka 600 m3/h</t>
  </si>
  <si>
    <t>Povrat topline zima:</t>
  </si>
  <si>
    <t>Svježi zrak: -7°C/53% r.v.</t>
  </si>
  <si>
    <t>Karakteristike zraka nakon rekuperacije: 16°C/10% r.v.</t>
  </si>
  <si>
    <t>Učinkovitost povrata topline – suhi zrak: ≥ 81,6%</t>
  </si>
  <si>
    <t>Učinkovitost povrata topline – vlažni zrak: ≥ 83,5%</t>
  </si>
  <si>
    <t>Povrat topline ljeto:</t>
  </si>
  <si>
    <t>Svježi zrak: 35°C/60% r.v.</t>
  </si>
  <si>
    <t>Karakteristike zraka nakon rekuperacije: 28°C/91% RH</t>
  </si>
  <si>
    <t>Učinkovitost povrata topline – suhi zrak: ≥ 80,5%</t>
  </si>
  <si>
    <t>Učinkovitost povrata topline – vlažni zrak: ≥ 80,5%</t>
  </si>
  <si>
    <t>*Tlačni ventilator u kompletu s EC elektromotorom</t>
  </si>
  <si>
    <t>Protok zraka: 600 m³/h</t>
  </si>
  <si>
    <t>Pad tlaka: 100 Pa</t>
  </si>
  <si>
    <t>Nominalna snaga: ≤ 0,17 kW</t>
  </si>
  <si>
    <t>Nominalna struja: ≤ 1,8 A</t>
  </si>
  <si>
    <t>SFP: 1,40 kW/m3s</t>
  </si>
  <si>
    <t>*Integrirani toplovodni Al/Cuizmjenjivač</t>
  </si>
  <si>
    <t>protok zraka: 600 m3/h</t>
  </si>
  <si>
    <t>medij: voda</t>
  </si>
  <si>
    <t>kapacitet grijanja: 1,64 kW</t>
  </si>
  <si>
    <t>temperatura medija: 60/40°C</t>
  </si>
  <si>
    <t>temperatura zraka na ulazu: 16°C/10% r.v.</t>
  </si>
  <si>
    <t>temperatura zraka na izlazu: 24°C/6% r.v.</t>
  </si>
  <si>
    <t>pad tlaka na zračnoj strani: ≤ 19 Pa</t>
  </si>
  <si>
    <t>pad tlaka na strani medija: ≤ 0,3 Pa</t>
  </si>
  <si>
    <t>* Fleksibilni priključak za spoj tlačnog kanala</t>
  </si>
  <si>
    <t>Opis elemenata u smjeru strujanja zraka (ODSIS)</t>
  </si>
  <si>
    <t>* Fleksibilni priključak za spoj odsisnog kanala</t>
  </si>
  <si>
    <t>*Panelni filter s mogućnošću izmjene s donje ili bočne strane ISO ePM10 50%</t>
  </si>
  <si>
    <t>Odsisni zrak zimi: 20°C/40% r.v.</t>
  </si>
  <si>
    <t>Odsisni zrak zimi: 26°C/50% r.v.</t>
  </si>
  <si>
    <t>Nominalna struja: ≤ 1,8 kW</t>
  </si>
  <si>
    <t>* Fleksibilni priključak za spoj kanala  za izbacivanje otpadnog zraka u kompletu s elektromotornom zaklopkom</t>
  </si>
  <si>
    <t>Oprema koja treba biti sadržana u isporuci podstropne ventilacijske jedinice:</t>
  </si>
  <si>
    <t>Elektrokomandni ormar za napajanje i upravljanje svih elemenata ventilacijske jedinice, tvornički ispitan i ožičen,  u kompletu sa svim potrebnim elementima DDC regulacije i elementima energetskih instalacija (bimetali, sklopnici, grebenaste sklopke)</t>
  </si>
  <si>
    <t>Sve kao proizvod AERA, tip: AZURE 700 R ili jednakovrijedan ____________.</t>
  </si>
  <si>
    <t xml:space="preserve"> sa svim potrebnim elektroožičenjem i priborom za montažu.</t>
  </si>
  <si>
    <t>Dimenzije DxŠxV: 1.940x1.895x508 mm</t>
  </si>
  <si>
    <t>Masa: 285 kg</t>
  </si>
  <si>
    <t>Protok zraka na tlačnoj strani: 1.500 m³/h</t>
  </si>
  <si>
    <t>Brzina zraka na tlacnoj strani:  ≤1,45 m/s</t>
  </si>
  <si>
    <t>Protok zraka na odsisnoj strani: 1.500 m³/h</t>
  </si>
  <si>
    <t>Brzina zraka na odsisnoj strani: ≤1,45 m/s</t>
  </si>
  <si>
    <t>Usis svježeg zraka: 56 dB(A)</t>
  </si>
  <si>
    <t>Ubacivanje obrađenog zraka: 74 dB(A)</t>
  </si>
  <si>
    <t>Usis povratnog zraka iz prostora: 74 dB(A)</t>
  </si>
  <si>
    <t>Izbacivanje otpadnog zraka: 58 dB(A)</t>
  </si>
  <si>
    <t>Nivo zvučne snage mjereno na kućištu: 41 dB(A)</t>
  </si>
  <si>
    <t>Nivo zvučnog tlaka mjereno na udaljenosti 1m: 33 dB(A)</t>
  </si>
  <si>
    <t>Nivo zvučnog tlaka mjereno na udaljenosti 3m: 24 dB(A)</t>
  </si>
  <si>
    <t>Nivo zvučnog tlaka mjereno na udaljenosti 5m: 19 dB(A)</t>
  </si>
  <si>
    <t>nominalna snaga: ≤ 2,55 kW</t>
  </si>
  <si>
    <t>maksimalna snaga: ≤ 7,05 kW</t>
  </si>
  <si>
    <t>Protok zraka 1.500 m3/h</t>
  </si>
  <si>
    <t>Učinkovitost povrata topline – suhi zrak: ≥ 81,9%</t>
  </si>
  <si>
    <t>Učinkovitost povrata topline – vlažni zrak: ≥ 83,8%</t>
  </si>
  <si>
    <t>Učinkovitost povrata topline – suhi zrak: ≥ 80,8%</t>
  </si>
  <si>
    <t>Učinkovitost povrata topline – vlažni zrak: ≥ 80,8%</t>
  </si>
  <si>
    <t>Protok zraka: 1.500 m³/h</t>
  </si>
  <si>
    <t>Pad tlaka: 250 Pa</t>
  </si>
  <si>
    <t>Nominalna snaga: ≤ 0,78 kW</t>
  </si>
  <si>
    <t>Nominalna struja: ≤ 3,9 A</t>
  </si>
  <si>
    <t>SFP: 1,63 kW/m3s</t>
  </si>
  <si>
    <t>protok zraka: 1.500 m3/h</t>
  </si>
  <si>
    <t>kapacitet grijanja: 4,09 kW</t>
  </si>
  <si>
    <t>pad tlaka na zračnoj strani: ≤ 16 Pa</t>
  </si>
  <si>
    <t>pad tlaka na strani medija: ≤ 0,9 Pa</t>
  </si>
  <si>
    <t>Sve kao proizvod AERA, tip: AZURE 2200 R ili jednakovrijedan ____________.</t>
  </si>
  <si>
    <t>Puštanje u pogon podstropne ventiolacijske jedinice od strane ovlaštenog servisera s tim da je ista povezana na elektro, cijevni te kanalni priključak u skladu s pravilima struke te projektnom dokumentacijom.</t>
  </si>
  <si>
    <t>Stropni vrtložni distributer zraka (anemostat) sa podešavajućim lamelama za ubacivanje zraka. Podešavanje smjera i kuta ubacivanja zraka se izvodi promjenom položaja lamela, a sve prema tehničkim uputama proizvođača. Distributer zraka se sastoji od priključne kutije sa ručnim regulatorom količine zraka smještenim horizontalno, pločom za raspršivanje i umirenje struje zraka, traverzom za pričvršćenje istrujne ploče i kvadratnom odn. okruglom istrujnom pločom  sa podešavajućim lamelama.</t>
  </si>
  <si>
    <t>600x24(dimenzija ploče 600x600mm i 24 otvora za istrujavanje zraka)</t>
  </si>
  <si>
    <t>Dobava i ugradnja fleksibilne aluminijske cijevi s toplinskom izolacijom i vanjskim zaštitnim aluminijskim omotačem,  komplet sa svim spojnim, ovjesnim i pričvrsnim priborom za priključak ventilacijskih elemenata i priključnih kutija na kružne ventilacijske cijevi.</t>
  </si>
  <si>
    <t>Ø203</t>
  </si>
  <si>
    <t>Dobava i montaža rešetke za odvod zraka iz prostora, koja se sastoji od okvira i protuokvira,zaklopkom za regulaciju i uzdužnih lamela; obojanih u boji i tonu prema zahtjevu arhitekta, slijedećih tehničkih karakteristika, dimenzija i količina:</t>
  </si>
  <si>
    <t>425x125</t>
  </si>
  <si>
    <t>625x125</t>
  </si>
  <si>
    <t xml:space="preserve">Dobava i montaža 
Prigušivač zvuka  sa svim priborom potrebnim za vješanje i montažu sljedećih tehničkih karakteristika:
</t>
  </si>
  <si>
    <t>dim. φ 200 L=1000 mm
 V   [m³/h]600</t>
  </si>
  <si>
    <t>dim. φ 300 L=1000 mm
 V   [m³/h]1500</t>
  </si>
  <si>
    <t>Dobava i montaža fiksne protukišne žaluzine u kompletu za montažu u zid, zajedno sa okvirom i prouokvirom, izrađene izl AL profila; , slijedećih tehničkih karakteristika, dimenzija i količina:</t>
  </si>
  <si>
    <t>385x450 mm</t>
  </si>
  <si>
    <t>fi100 mm</t>
  </si>
  <si>
    <t>Dobava i montaža zračnih spiro kanala izrađenih iz pocinčanog čeličnog lima, te izrada fazonskih prelaznih komada i spojeva na vrtložne distributere.</t>
  </si>
  <si>
    <t>Ø200</t>
  </si>
  <si>
    <t>Φ250</t>
  </si>
  <si>
    <t>Φ315</t>
  </si>
  <si>
    <t>Φ355</t>
  </si>
  <si>
    <t>Dobava i montaža izolacije sa parnom branom 13 mm za izolaciju kanala unutar objekta, zajedno sa svom opremom potrebnom za montažu izolacije na kanal. Obračun po površini kanala.</t>
  </si>
  <si>
    <t>Dobava i montaža:
Dobava i montaža protupožarnih zaklopki požarne otpornosti 90 min., krila bez azbesta s oblogom od čeličnog lima. 
Opremljena je s termoosjetnikom (72°C) i elektromotornim pogonom (230V) s pripadajućim krajnim sklopkama za indikaciju položaja zaklopke (otvoreno/zatvoreno) i automatskim zatvaranjem pri prekidu napajanja.  
Ispitana na vatrootporna svojstva u skladu s EN 1366-2. Izjava o svojstvima proizvoda DoP/FK-EU/DE/003 i oznakom CE. Ispunjava sve zahtjeve norme EN 15650:2010 (EI TT). U skladu s normama ISO 10294-4, EN 600068-2-52. Propuštanje zraka zatvorene lopatice u skladu je s normom EN 1751, minimalna klasa 2. Propuštanje zraka u kućištu u skladu je s normom EN 1751, klasa B.zajedno sa materijalom za montažu, slijedećih dimenzija i količina:</t>
  </si>
  <si>
    <t>Ø100</t>
  </si>
  <si>
    <t xml:space="preserve">Dobava i montaža neprovidne rešetke za ugradnju u vrata, zajedno sa protuokviom te montažnim, spojnim i brtvenim materijalom. </t>
  </si>
  <si>
    <t>325x225 mm</t>
  </si>
  <si>
    <t xml:space="preserve">Dobava i montaža PVC cijevi za odvodnju kondenzata sa ventilacijskog uređaja, fazonski elementi, svi potrebni ovjesni i spojni (šelne, trake i sl.) i montažni materijal, za spoj elemenata, dimenzija. </t>
  </si>
  <si>
    <t>PVCd32</t>
  </si>
  <si>
    <t>Dobava i ugradnja zidnog sifona, za ugradnju na instalaciju odvoda kondenzata prije spoja na instalaciju odvodnje građevine, zajedno sa potrebnim spojnim i montažnim materijalom. U cijenu uključiti uštemavanje u zid.</t>
  </si>
  <si>
    <t>Probni pogon, balansiranje i podešavanje ugrađene opreme prema zahtjevima projekta, te izrada elaborata o izvršenim mjerenjima i postignutim rezultatima u odnosu na projektirane veličine.</t>
  </si>
  <si>
    <t>Provjera izvršenog balansiranja sistema s finim podešavanjem količina prema projektu i funkcionalno ispitivanje zadimljavanjem, 
snimanjem učinkovitosti sustava od strane ovlaštene organizacije za tu vrstu posla s izdavanjem pismenog izvješća o nalazu.</t>
  </si>
  <si>
    <t>Puštanje u pogon i kontrola sustava ventilacije, od strane ovlaštenog servisa.</t>
  </si>
  <si>
    <t>Podzemni vod</t>
  </si>
  <si>
    <t>Dobava i montaža sa svom opremom potrebnom za montažu.
Korudirane zaštitne cijevi za polaganje u zemlju, u cijev se ugrađuju freonske cijevi za VRF i split.</t>
  </si>
  <si>
    <t>unutarnji promjer cijevi fi 250mm</t>
  </si>
  <si>
    <t>Iskop rova prosječne širine 1,0 m, dubine prosječno 1,2 m.</t>
  </si>
  <si>
    <t>Postavljanje trake za označavanje trase toplovoda sa natpisom “POZOR – TOPLOVOD“ i vodljivom žicom za detekciju trase.</t>
  </si>
  <si>
    <t>J</t>
  </si>
  <si>
    <t>Ostali radovi</t>
  </si>
  <si>
    <t>Radovi ovlaštenog inženjera strojarske struke pri izvedbi radova na građevini (uvođenje izvođača u posao, sudjelovanje kod usmjeravanja, nadzor nad izvođenjem radova, stručni savjeti, izrada završnog izvješća, sudjelovanje kod primopredaje) u iznosu od cca 2% investicije.</t>
  </si>
  <si>
    <t xml:space="preserve">Radovi dolaska ovlaštenog projektanta na teren, obilazak gradilišta, razradu i pojašnjenje projektiranih rješenja te dopunu ili prilagodbu pojednih tehničkih rješenja zbog nepredviđenih okolnosti na terenu. Stavkom su obuhvaćeni troškovi prijevoza, rada projektanta i uredskog materijala za izradu dopuna ili prilagodbi u iznosu od cca 0,5% investicije. </t>
  </si>
  <si>
    <t xml:space="preserve">Pripremno - završni radovi uključivo upoznavanje sa objektom, kontakti sa nadzornom službom, usklađivanje sa ostalim sudionicima u gradnji o položaju elemenata sistema, te vođenje dokumentacije gradilišta.
Stavka uključuje usklađivanje s građevinsko zanatskim radovima te interijerom. </t>
  </si>
  <si>
    <t>Ispitivanje ljetne i zimske mikroklime te izdavanje Uvjerenja od strane ovlaštene ustanove za ispitivanje radnog okoliša. Ispitivanja se vrše kad se steknu vanjski uvjeti za izvođenje istih (ljeto odnosno zima).</t>
  </si>
  <si>
    <t>Ishođenje "Uvjerenja (i Zapisnika) zaštite na radu o ispitivanju stroja ili uređaja s povećanim opasnostima". Navedeno ispitivanje zatražiti za kompletnu instalaciju od ovlaštene ustanove za navedeno ispitivanje.</t>
  </si>
  <si>
    <t>Primopredaja izvedenih radova, izrada uputa za rad i održavanje u tiskanom obliku, izrada shema izvedenog stanja, signalno obilježavanje vodova i opreme, te potrebni natpisi upozorenja i obavještenja.</t>
  </si>
  <si>
    <t>Ispitivanje buke na strojarskim instalacija.
Stavka uključuje mjerenje postignutog nivoa buke u okolnom i unutrašnjem prostoru i izdavalje certifikata od strane ovlaštene tvrtke.</t>
  </si>
  <si>
    <t>Funkcijalna ispitivanje izvedene instalacije te izdavanje potrebne dokumentacije o dokazu kvalitete i ispravnosti izvedenih strojarskih instalacija.</t>
  </si>
  <si>
    <t>Izrada kompletne dokumentacije za tehnički pregled. Pribavljanje potrebnih suglasnosti, atesta i uvjerenja nadležnih institucija u svrhu dobivanja uporabne dozvole i izrada projekta izvedenog stanja (predaja u 3 tiskana primjerka i digitalno).</t>
  </si>
  <si>
    <t>Obračun po komplet</t>
  </si>
  <si>
    <t>Ispitivanje vanjskih jedinici VRV sustava kao storja s povečanom opašnošću od strane ovlaštene trvtke, te uz izdavanje potrebne dokumentacije.</t>
  </si>
  <si>
    <t>Prijava uređaja koji sadrže freone prema Uredbi o tvarima koje oštećuju ozonski sloj od strane ovlaštenog servisera.</t>
  </si>
  <si>
    <t>Transportni troškovi koji uključuju: transport materijala i alata do gradilišta, povrat  alata i preostalog materijala,  te vertiklani i horizontalni transport unutar gradilišta korištenje autodizalica dizalica, skela, te ostalih pomagala i uređaja.</t>
  </si>
  <si>
    <t>Čišćenje i uređenje gradilišta nakon završetka radova. 
To uključuje uklanjanje razne vrste otpada nastalog bušenjem, štemanjem i šlicanjem betonskih, ciglenih i ostalih površina, rezanjem i prekrajanjem cijevne mreže radijatora, ventilokonvektora i kondenzata, uklanjanje kartonskih, plastičnih i ostalih amblaža s gradilišta...
Gradilište mora biti uredno i spremno za nastavak ostalih radnji na objektu. Stavka uključuje odvoženje i zbrinjavanje cijelokupnog otpada na za to odgovarajuće odlagalište na udaljenosti do 30 km od objekta</t>
  </si>
  <si>
    <t>G</t>
  </si>
  <si>
    <r>
      <t>Izrada Funkcionalne sheme toplinsko rashladne stanice  s uputama za korištenje s kratkim uputama za stavljanje u pogon, isključivanje iz pogona i otklanjanje smetnji. Na njoj trebaju biti navedeni - parametri TRS : nazivni učin, temperaturi režimi rada, radni pritisci, pritisak baždarenja sigurnosnih ventila, karakteristike goriva itd),
Shema treba biti izrađena na podlozi od plastike, površine cca 0,6 m</t>
    </r>
    <r>
      <rPr>
        <vertAlign val="superscript"/>
        <sz val="11"/>
        <rFont val="Calibri"/>
        <family val="2"/>
        <charset val="238"/>
        <scheme val="minor"/>
      </rPr>
      <t>2</t>
    </r>
    <r>
      <rPr>
        <sz val="11"/>
        <rFont val="Calibri"/>
        <family val="2"/>
        <charset val="238"/>
        <scheme val="minor"/>
      </rPr>
      <t>,  uokvirena i ovješena na zidu.</t>
    </r>
  </si>
  <si>
    <t xml:space="preserve">UKUPNO </t>
  </si>
  <si>
    <t>REKAPITULACIJA RADOVA GRIJANJA, HLAĐENJA, VENTILACIJE I PLINA</t>
  </si>
  <si>
    <t>RAZNI RADOVI UKUPNO</t>
  </si>
  <si>
    <t>GRIJANJE, HLAĐENJE, VENTILACIJA I PLIN UKUPNO</t>
  </si>
  <si>
    <t>VODOVOD I ODVODNJA UKUPNO</t>
  </si>
  <si>
    <t xml:space="preserve">Izvodi se na postojećim kompozitnim zidovima koji se zadržavaju. Potrebno je očistiti kamen od nečistoća, mahovine, lišajeva i sl., odstraniti svu dotrajali mort iz fuga, te prefugirati iznova. </t>
  </si>
  <si>
    <t>Obračun po m2 plohe zida s kamenom.</t>
  </si>
  <si>
    <t>Čišćenje i uređenje postojećih kamenih zidova</t>
  </si>
  <si>
    <r>
      <t xml:space="preserve">vrata učionica i vrata tehničkih prostorija </t>
    </r>
    <r>
      <rPr>
        <b/>
        <sz val="10"/>
        <rFont val="Calibri"/>
        <family val="2"/>
        <charset val="238"/>
        <scheme val="minor"/>
      </rPr>
      <t>R'</t>
    </r>
    <r>
      <rPr>
        <b/>
        <vertAlign val="subscript"/>
        <sz val="10"/>
        <rFont val="Calibri"/>
        <family val="2"/>
        <charset val="238"/>
        <scheme val="minor"/>
      </rPr>
      <t>w</t>
    </r>
    <r>
      <rPr>
        <b/>
        <sz val="10"/>
        <rFont val="Calibri"/>
        <family val="2"/>
        <charset val="238"/>
        <scheme val="minor"/>
      </rPr>
      <t xml:space="preserve"> = 39 dB</t>
    </r>
  </si>
  <si>
    <r>
      <t xml:space="preserve">vrata višenamjenske dvorane </t>
    </r>
    <r>
      <rPr>
        <b/>
        <sz val="10"/>
        <rFont val="Calibri"/>
        <family val="2"/>
        <charset val="238"/>
        <scheme val="minor"/>
      </rPr>
      <t>R'</t>
    </r>
    <r>
      <rPr>
        <b/>
        <vertAlign val="subscript"/>
        <sz val="10"/>
        <rFont val="Calibri"/>
        <family val="2"/>
        <charset val="238"/>
        <scheme val="minor"/>
      </rPr>
      <t>w</t>
    </r>
    <r>
      <rPr>
        <b/>
        <sz val="10"/>
        <rFont val="Calibri"/>
        <family val="2"/>
        <charset val="238"/>
        <scheme val="minor"/>
      </rPr>
      <t xml:space="preserve"> = 37 dB</t>
    </r>
  </si>
  <si>
    <r>
      <t>Panti eloksirani aluminijski tri komada po vratima. Dovratnici i bočna stijena fiksirani eloksiranim aluminijskim "U" profilom, horizontalni profil na gornjem dijelu stijene eloksirani aluminijski "h" profil, unutrašnji eloksirani aluminijski kvadratni profil.</t>
    </r>
    <r>
      <rPr>
        <sz val="11"/>
        <rFont val="Calibri"/>
        <family val="2"/>
        <scheme val="minor"/>
      </rPr>
      <t xml:space="preserve"> Dovratnici, bočna stijena i vrata izrađeni od HPL ploča debljine 13 mm otpornih na udarce, ogrebotine, savijanje, zamrzavanje i vrućinu -80°C do 180°, vlagu i vodenu paru, otapala i kemikalije, dvostruko ojačane površine, jednostavnih za čišćenje. Uzorak i dizajn dostaviti projektantu na ovjeru (cijenom obuhvatiti proizvođače cjenovno srednje tržišne klase).</t>
    </r>
  </si>
  <si>
    <r>
      <t xml:space="preserve">Vezu na postojeći zid izvesti preko zabušenih anker šipki. Izvode se ankeri </t>
    </r>
    <r>
      <rPr>
        <sz val="12"/>
        <rFont val="Calibri"/>
        <family val="2"/>
      </rPr>
      <t>ø</t>
    </r>
    <r>
      <rPr>
        <sz val="11"/>
        <rFont val="Calibri"/>
        <family val="2"/>
      </rPr>
      <t>16/50cm. Izvesti rupe promjera min</t>
    </r>
    <r>
      <rPr>
        <sz val="12"/>
        <rFont val="Calibri"/>
        <family val="2"/>
      </rPr>
      <t xml:space="preserve"> ø</t>
    </r>
    <r>
      <rPr>
        <sz val="11"/>
        <rFont val="Calibri"/>
        <family val="2"/>
      </rPr>
      <t>20mm. Rupe prije ugradnje ankera ispuniti epoksidnim mortom. Dubina sidrenja minimalno 30cm, odnosno min 2/3 debljine postojećeg zida.</t>
    </r>
  </si>
  <si>
    <t xml:space="preserve">Ovako izvedena dvoslojna žbuka treba biti pripravna za izvedbu soboslikarskih radova. U jediničnu cijenu uključen sav potreban rad, skele i potreban pribor.
</t>
  </si>
  <si>
    <t xml:space="preserve">Žbuka debljine 10cm se izvodi s unutarnje strane zidova, a dijelom i žbuka debljine 5cm, te treba biti pripravna za izvedbu soboslikarskih radova. Dio žbuke debljine 5cm se izvodi u vanjskom prostoru i na njoj je potrebno izvesti završnu žbuku što je obračunato u fasaderskim radovima. U jediničnu cijenu uključen sav potreban rad, skele i potreban pribor.
</t>
  </si>
  <si>
    <t>Potrebno je postaviti drvene gredice i grede kojima se formira pad na krovu, kako bi se iznad mogle pričvrstiti OSB ploče (obračunate u zasebnoj stavci).</t>
  </si>
  <si>
    <r>
      <t xml:space="preserve">vrata učionica i vrata tehničkih prostorija </t>
    </r>
    <r>
      <rPr>
        <b/>
        <sz val="10"/>
        <rFont val="Calibri"/>
        <family val="2"/>
        <scheme val="minor"/>
      </rPr>
      <t>R'</t>
    </r>
    <r>
      <rPr>
        <b/>
        <vertAlign val="subscript"/>
        <sz val="10"/>
        <rFont val="Calibri"/>
        <family val="2"/>
        <scheme val="minor"/>
      </rPr>
      <t>w</t>
    </r>
    <r>
      <rPr>
        <b/>
        <sz val="10"/>
        <rFont val="Calibri"/>
        <family val="2"/>
        <scheme val="minor"/>
      </rPr>
      <t xml:space="preserve"> = 39 dB</t>
    </r>
  </si>
  <si>
    <r>
      <t xml:space="preserve">vrata višenamjenske dvorane </t>
    </r>
    <r>
      <rPr>
        <b/>
        <sz val="10"/>
        <rFont val="Calibri"/>
        <family val="2"/>
        <scheme val="minor"/>
      </rPr>
      <t>R'</t>
    </r>
    <r>
      <rPr>
        <b/>
        <vertAlign val="subscript"/>
        <sz val="10"/>
        <rFont val="Calibri"/>
        <family val="2"/>
        <scheme val="minor"/>
      </rPr>
      <t>w</t>
    </r>
    <r>
      <rPr>
        <b/>
        <sz val="10"/>
        <rFont val="Calibri"/>
        <family val="2"/>
        <scheme val="minor"/>
      </rPr>
      <t xml:space="preserve"> = 37 dB</t>
    </r>
  </si>
  <si>
    <t xml:space="preserve">U cijenu je svih stavki vanjske bravarije je uključena unutarnja MDF ličena klupčica  širine 25-35cm . </t>
  </si>
  <si>
    <t xml:space="preserve">Sa unutarnje strane prozora i stijena (uz stavke kod kojih je navedeno u shemama) ugrađuje se unutarnji rolo (uračunati u jedničnu cijenu te stavke) sa mehanizmom od plastificiranog aluminija u bijeloj boji, platnom, elektromotorom i prekidačem za upravljanje. Kutija je smještena u spuštenom stropu, a uz nju se ugrađuje revizioni poklopac ukoliko je potreban. U cijenu uključiti i elektro radove (kabliranje, spajanje) sa svim potrebnim radom i materijalom. Platno roloa za zasjenjivanje mora biti u vrlo svijetloj boji (prljavobijelo, bež), te biti refleksne površine Fc = 0,75. Uzorke platna (min. 6 uzoraka)dostaviti projektantu na odobrenje. Proizvodi za koje proizvođač ne iskazuje podatke o Fc koeficijentu se neće razmatrati. U dvorani će se ugraditi i zastori za zamračivanje prostora koji će imati bočne vodilice. Platno treba biti nepropusno za svjetlost, tako da omogući potpuno zamračivanje.  Uzorke platna za zamračivanje (min. 6 uzoraka) obavezno dostaviti na odobrenje projektantu.  </t>
  </si>
  <si>
    <r>
      <t xml:space="preserve">Nabava, dostava i montaža </t>
    </r>
    <r>
      <rPr>
        <b/>
        <sz val="11"/>
        <rFont val="Calibri"/>
        <family val="2"/>
        <scheme val="minor"/>
      </rPr>
      <t>rolo zastora za zamračivanje</t>
    </r>
    <r>
      <rPr>
        <sz val="11"/>
        <rFont val="Calibri"/>
        <family val="2"/>
        <scheme val="minor"/>
      </rPr>
      <t xml:space="preserve"> prostora u dvorani.</t>
    </r>
  </si>
  <si>
    <r>
      <t>Krovovi su dvostrešni i jednostrešni nagiba 7° - 16</t>
    </r>
    <r>
      <rPr>
        <sz val="11"/>
        <rFont val="Calibri"/>
        <family val="2"/>
      </rPr>
      <t>°.</t>
    </r>
  </si>
  <si>
    <r>
      <t>Dobava i postava lijepljenjem</t>
    </r>
    <r>
      <rPr>
        <b/>
        <sz val="11"/>
        <rFont val="Calibri"/>
        <family val="2"/>
        <scheme val="minor"/>
      </rPr>
      <t xml:space="preserve"> višeslojne PVC podne obloge.</t>
    </r>
  </si>
  <si>
    <r>
      <t xml:space="preserve">Dobava i postava lijepljenjem </t>
    </r>
    <r>
      <rPr>
        <b/>
        <sz val="11"/>
        <rFont val="Calibri"/>
        <family val="2"/>
        <scheme val="minor"/>
      </rPr>
      <t>sportske PVC podne obloge.</t>
    </r>
  </si>
  <si>
    <r>
      <t xml:space="preserve">Dobava i postava lijepljenjem </t>
    </r>
    <r>
      <rPr>
        <b/>
        <sz val="11"/>
        <rFont val="Calibri"/>
        <family val="2"/>
        <scheme val="minor"/>
      </rPr>
      <t>tapisona.</t>
    </r>
  </si>
  <si>
    <t>Tapison se postavlja na cementni estrih (obračunat u zasebnoj stavci) u jednom dijelu prostora, odnosno na OSB ploče u drugom dijelu prostora.</t>
  </si>
  <si>
    <r>
      <t>Dobava i postava OSB ploča na antivibracijskim podlošcima</t>
    </r>
    <r>
      <rPr>
        <b/>
        <sz val="11"/>
        <rFont val="Calibri"/>
        <family val="2"/>
        <scheme val="minor"/>
      </rPr>
      <t>.</t>
    </r>
  </si>
  <si>
    <t xml:space="preserve">Pločice iste kao u prethodnoj stavci, samo veće protukliznosti. Pločice I klase, retificirane. Dimenzije  pločica kvadratne 60-80x60-80 cm.  Protukliznost pločica je R11. </t>
  </si>
  <si>
    <r>
      <t>m</t>
    </r>
    <r>
      <rPr>
        <vertAlign val="superscript"/>
        <sz val="11"/>
        <rFont val="Calibri"/>
        <family val="2"/>
        <charset val="238"/>
        <scheme val="minor"/>
      </rPr>
      <t>2</t>
    </r>
  </si>
  <si>
    <r>
      <t>p</t>
    </r>
    <r>
      <rPr>
        <vertAlign val="subscript"/>
        <sz val="11"/>
        <rFont val="Calibri"/>
        <family val="2"/>
        <charset val="238"/>
        <scheme val="minor"/>
      </rPr>
      <t>e</t>
    </r>
    <r>
      <rPr>
        <sz val="11"/>
        <rFont val="Calibri"/>
        <family val="2"/>
        <charset val="238"/>
        <scheme val="minor"/>
      </rPr>
      <t>=1-4 bar</t>
    </r>
  </si>
  <si>
    <r>
      <t>p</t>
    </r>
    <r>
      <rPr>
        <vertAlign val="subscript"/>
        <sz val="11"/>
        <rFont val="Calibri"/>
        <family val="2"/>
        <charset val="238"/>
        <scheme val="minor"/>
      </rPr>
      <t>a</t>
    </r>
    <r>
      <rPr>
        <sz val="11"/>
        <rFont val="Calibri"/>
        <family val="2"/>
        <charset val="238"/>
        <scheme val="minor"/>
      </rPr>
      <t>=23 mbar</t>
    </r>
  </si>
  <si>
    <r>
      <t>Q</t>
    </r>
    <r>
      <rPr>
        <vertAlign val="subscript"/>
        <sz val="11"/>
        <rFont val="Calibri"/>
        <family val="2"/>
        <charset val="238"/>
        <scheme val="minor"/>
      </rPr>
      <t>max</t>
    </r>
    <r>
      <rPr>
        <sz val="11"/>
        <rFont val="Calibri"/>
        <family val="2"/>
        <charset val="238"/>
        <scheme val="minor"/>
      </rPr>
      <t>=25 m</t>
    </r>
    <r>
      <rPr>
        <vertAlign val="superscript"/>
        <sz val="11"/>
        <rFont val="Calibri"/>
        <family val="2"/>
        <charset val="238"/>
        <scheme val="minor"/>
      </rPr>
      <t>3</t>
    </r>
    <r>
      <rPr>
        <sz val="11"/>
        <rFont val="Calibri"/>
        <family val="2"/>
        <charset val="238"/>
        <scheme val="minor"/>
      </rPr>
      <t>/h</t>
    </r>
  </si>
  <si>
    <r>
      <t>Q</t>
    </r>
    <r>
      <rPr>
        <vertAlign val="subscript"/>
        <sz val="11"/>
        <rFont val="Calibri"/>
        <family val="2"/>
        <charset val="238"/>
        <scheme val="minor"/>
      </rPr>
      <t>naz</t>
    </r>
    <r>
      <rPr>
        <sz val="11"/>
        <rFont val="Calibri"/>
        <family val="2"/>
        <charset val="238"/>
        <scheme val="minor"/>
      </rPr>
      <t>=10,0 m</t>
    </r>
    <r>
      <rPr>
        <vertAlign val="superscript"/>
        <sz val="11"/>
        <rFont val="Calibri"/>
        <family val="2"/>
        <charset val="238"/>
        <scheme val="minor"/>
      </rPr>
      <t>3</t>
    </r>
    <r>
      <rPr>
        <sz val="11"/>
        <rFont val="Calibri"/>
        <family val="2"/>
        <charset val="238"/>
        <scheme val="minor"/>
      </rPr>
      <t>/h</t>
    </r>
  </si>
  <si>
    <r>
      <t>Q</t>
    </r>
    <r>
      <rPr>
        <vertAlign val="subscript"/>
        <sz val="11"/>
        <rFont val="Calibri"/>
        <family val="2"/>
        <charset val="238"/>
        <scheme val="minor"/>
      </rPr>
      <t>max</t>
    </r>
    <r>
      <rPr>
        <sz val="11"/>
        <rFont val="Calibri"/>
        <family val="2"/>
        <charset val="238"/>
        <scheme val="minor"/>
      </rPr>
      <t>=16,0 m</t>
    </r>
    <r>
      <rPr>
        <vertAlign val="superscript"/>
        <sz val="11"/>
        <rFont val="Calibri"/>
        <family val="2"/>
        <charset val="238"/>
        <scheme val="minor"/>
      </rPr>
      <t>3</t>
    </r>
    <r>
      <rPr>
        <sz val="11"/>
        <rFont val="Calibri"/>
        <family val="2"/>
        <charset val="238"/>
        <scheme val="minor"/>
      </rPr>
      <t>/h</t>
    </r>
  </si>
  <si>
    <r>
      <t>Q</t>
    </r>
    <r>
      <rPr>
        <vertAlign val="subscript"/>
        <sz val="11"/>
        <rFont val="Calibri"/>
        <family val="2"/>
        <charset val="238"/>
        <scheme val="minor"/>
      </rPr>
      <t>min</t>
    </r>
    <r>
      <rPr>
        <sz val="11"/>
        <rFont val="Calibri"/>
        <family val="2"/>
        <charset val="238"/>
        <scheme val="minor"/>
      </rPr>
      <t>=0,10 m</t>
    </r>
    <r>
      <rPr>
        <vertAlign val="superscript"/>
        <sz val="11"/>
        <rFont val="Calibri"/>
        <family val="2"/>
        <charset val="238"/>
        <scheme val="minor"/>
      </rPr>
      <t>3</t>
    </r>
    <r>
      <rPr>
        <sz val="11"/>
        <rFont val="Calibri"/>
        <family val="2"/>
        <charset val="238"/>
        <scheme val="minor"/>
      </rPr>
      <t>/h</t>
    </r>
  </si>
  <si>
    <r>
      <t xml:space="preserve">Dobava i ugradnja zrako-dimovodnog pribora Ø80/125 za plinske </t>
    </r>
    <r>
      <rPr>
        <b/>
        <sz val="11"/>
        <rFont val="Calibri"/>
        <family val="2"/>
        <charset val="238"/>
        <scheme val="minor"/>
      </rPr>
      <t>kondenzacijske</t>
    </r>
    <r>
      <rPr>
        <sz val="11"/>
        <rFont val="Calibri"/>
        <family val="2"/>
        <charset val="238"/>
        <scheme val="minor"/>
      </rPr>
      <t xml:space="preserve"> aparate tip kao Vaillant. U cijenu je potrebno uračunati spojni i montažni materijal.</t>
    </r>
  </si>
  <si>
    <r>
      <t xml:space="preserve">Dobava i ugradnja toplinske izolacije cjevovoda </t>
    </r>
    <r>
      <rPr>
        <b/>
        <sz val="11"/>
        <rFont val="Calibri"/>
        <family val="2"/>
        <charset val="238"/>
        <scheme val="minor"/>
      </rPr>
      <t>ogrjevnog</t>
    </r>
    <r>
      <rPr>
        <sz val="11"/>
        <rFont val="Calibri"/>
        <family val="2"/>
        <charset val="238"/>
        <scheme val="minor"/>
      </rPr>
      <t xml:space="preserve"> medija, s fleksibilnim crjevima od spužvastog materijala na bazi sintetičkog kaučuka (elastomer), zatvorene ćelijaste strukture, s pokrovom od polietilenske folije, slijedećih svojstava
- koeficijent otpora difuziji vodene pare:  m = 3000
- vodljivost                                     l = 0,038 W/mK
- debljina                                       s=13 mm
za cijevi:</t>
    </r>
  </si>
  <si>
    <r>
      <t>Dobava i ugradnja elektro kabela 7x1,50 mm</t>
    </r>
    <r>
      <rPr>
        <vertAlign val="superscript"/>
        <sz val="11"/>
        <rFont val="Calibri"/>
        <family val="2"/>
        <charset val="238"/>
        <scheme val="minor"/>
      </rPr>
      <t>2</t>
    </r>
    <r>
      <rPr>
        <sz val="11"/>
        <rFont val="Calibri"/>
        <family val="2"/>
        <charset val="238"/>
        <scheme val="minor"/>
      </rPr>
      <t xml:space="preserve"> za spoj vanjske i unutarnje jedinice klima uređaja. U cijenu je potrebno uključiti i zaštitne savitljive cijevi  te ostali spojni, montažni i ovjesni materijal.</t>
    </r>
  </si>
  <si>
    <t>Ø160</t>
  </si>
  <si>
    <t xml:space="preserve">*- vodomjerno okno vanjskih dim.
vel. 170x130x180cm
NAPOMENA: Točne mjere vodomjernog okna utvrditi sa distributerom nadležnim za  vodovod.
</t>
  </si>
  <si>
    <r>
      <t xml:space="preserve">Izvedba </t>
    </r>
    <r>
      <rPr>
        <b/>
        <sz val="11"/>
        <rFont val="Calibri"/>
        <family val="2"/>
        <charset val="238"/>
        <scheme val="minor"/>
      </rPr>
      <t>revizionog okna</t>
    </r>
    <r>
      <rPr>
        <sz val="11"/>
        <rFont val="Calibri"/>
        <family val="2"/>
        <charset val="238"/>
        <scheme val="minor"/>
      </rPr>
      <t xml:space="preserve"> na kanalizaciji armiranim vodonepropusnim nabijenim betonom C30/37 u dvostranoj  oplati, debljine stijenki 20 cm.  Unutrašnje stijenke okna premazati polimercemntnim premazom. Vanjske stijenke obložiti savitljivom, 1,5 mm debljine, homogenom hidroizolacijskom membranom, sa signalnim slojem, na bazi visokokvalitetnog polivinilklorida
(PVC-p).  </t>
    </r>
  </si>
  <si>
    <t>Dobava i montaža PVC SN4 tvrdih zaštitnih cijevi za provođenje PEHD vodovodnih cijevi ispod temelja, uz kanalizaciju i na uvodima u vodomjerno okno te ispod kolnih površina.
Na proboje kroz VO i zasunsko okno se postavlju zaštitne PVC cijevi te uvodnice.  Za vođenje cijevi profila DN32 potrebni profil zaštitne cijevi iznosi DN75. U stavku uračunati i 2 kom uvodnica.</t>
  </si>
  <si>
    <t xml:space="preserve">Dobava i montaža PVC SN4 tvrdih zaštitnih cijevi za provođenje PEHD vodovodnih cijevi ispod temelja, uz kanalizaciju i na uvodima u vodomjerno okno te ispod kolnih površina.
Na proboje kroz VO i zasunsko okno se postavlju zaštitne PVC cijevi te uvodnice. Za vođenje cijevi profila DN50 potrebni profil zaštitne cijevi iznosi DN100. </t>
  </si>
  <si>
    <r>
      <t>m</t>
    </r>
    <r>
      <rPr>
        <vertAlign val="superscript"/>
        <sz val="11"/>
        <rFont val="Calibri"/>
        <family val="2"/>
        <charset val="238"/>
        <scheme val="minor"/>
      </rPr>
      <t>1</t>
    </r>
  </si>
  <si>
    <r>
      <t xml:space="preserve">Dobava, prijenos i montaža podnog suhog slivnika sa zaporom mirisa. 
S kromiranom rešetkom 120x120mm.
Obračun po kompletu
</t>
    </r>
    <r>
      <rPr>
        <b/>
        <sz val="11"/>
        <rFont val="Calibri"/>
        <family val="2"/>
        <charset val="238"/>
        <scheme val="minor"/>
      </rPr>
      <t xml:space="preserve">NAPOMENA: sve tehničke karakteristike mogu odstupati +/- 5%          </t>
    </r>
    <r>
      <rPr>
        <sz val="11"/>
        <rFont val="Calibri"/>
        <family val="2"/>
        <charset val="238"/>
        <scheme val="minor"/>
      </rPr>
      <t xml:space="preserve">     </t>
    </r>
  </si>
  <si>
    <r>
      <t xml:space="preserve">Dobava i montaža polipropilenskih vodovodnih cijevi za vruću i hladnu pitku vodu, 67°C . Vodovodne cijevi isporučuju se u šipkama po 4m. U cijenu uračunati sav potreban sitni pribor, spojni materijal, fazonske komade, prelazne komade polipropilen/čelik i potreban učvrsni i ovjesni pribor.
</t>
    </r>
    <r>
      <rPr>
        <b/>
        <sz val="11"/>
        <rFont val="Calibri"/>
        <family val="2"/>
        <charset val="238"/>
        <scheme val="minor"/>
      </rPr>
      <t>HLADNA VODA</t>
    </r>
    <r>
      <rPr>
        <sz val="11"/>
        <rFont val="Calibri"/>
        <family val="2"/>
        <charset val="238"/>
        <scheme val="minor"/>
      </rPr>
      <t xml:space="preserve">
</t>
    </r>
  </si>
  <si>
    <r>
      <t xml:space="preserve">Dobava i montaža polipropilenskih vodovodnih cijevi za vruću i hladnu pitku vodu, 67°C . Vodovodne cijevi isporučuju se u šipkama po 4m. U cijenu uračunati sav potreban sitni pribor, spojni materijal, fazonske komade, prelazne komade polipropilen/čelik i potreban učvrsni i ovjesni pribor.
</t>
    </r>
    <r>
      <rPr>
        <b/>
        <sz val="11"/>
        <rFont val="Calibri"/>
        <family val="2"/>
        <charset val="238"/>
        <scheme val="minor"/>
      </rPr>
      <t xml:space="preserve">TOPLA VODA </t>
    </r>
    <r>
      <rPr>
        <sz val="11"/>
        <rFont val="Calibri"/>
        <family val="2"/>
        <charset val="238"/>
        <scheme val="minor"/>
      </rPr>
      <t xml:space="preserve">
</t>
    </r>
  </si>
  <si>
    <r>
      <rPr>
        <b/>
        <sz val="11"/>
        <rFont val="Calibri"/>
        <family val="2"/>
        <charset val="238"/>
        <scheme val="minor"/>
      </rPr>
      <t>Dobava i montaža: Izolacija hladnih čeličnih vodovodnih cijevi vođenih u spuštenom stropu te nadžbukno.</t>
    </r>
    <r>
      <rPr>
        <sz val="11"/>
        <rFont val="Calibri"/>
        <family val="2"/>
        <charset val="238"/>
        <scheme val="minor"/>
      </rPr>
      <t xml:space="preserve">
Dobava i montaža: Izolacija hladnih čeličnih vodovodnih cijevi vođenih u spuštenom stropu sa samoljepljivom izolacijskom cijevi izrađenom iz spužvastog materijala na bazi sintetskog kaučuka, toplinske vodljivosti do 0,036 W/m/K, prema DIN EN ISO 8497 ili jednakovrijedno i DIN EN ISO 12667 ili jednakovrijedno, koeficijent otpora prolasku vodene pare minimalno 7000, prema DIN EN ISO 13469 ili jednakovrijedno, klasa zapaljivosti – teško zapaljiv prema DIN 4102-B1 ili jednakovrijedno, samogasiv, nekapajući i ne prenosi vatru, slijedećih dimenzija i količina. </t>
    </r>
  </si>
  <si>
    <r>
      <t xml:space="preserve">Dobava i montaža podžbukne kutije s vratima dim.cca 30x30cm, za montažu zapornog ventila na ulazu u stan, uključivo ventil DN32 s ispustom sa svim priborom potrebnim za montažu.
</t>
    </r>
    <r>
      <rPr>
        <b/>
        <sz val="11"/>
        <rFont val="Calibri"/>
        <family val="2"/>
        <charset val="238"/>
        <scheme val="minor"/>
      </rPr>
      <t>NAPOMENA: Sve tehničke karakteristike mogu odstupati +/- 5%</t>
    </r>
  </si>
  <si>
    <r>
      <t xml:space="preserve">Dobava, prijenos i montaža </t>
    </r>
    <r>
      <rPr>
        <b/>
        <sz val="11"/>
        <rFont val="Calibri"/>
        <family val="2"/>
        <charset val="238"/>
        <scheme val="minor"/>
      </rPr>
      <t xml:space="preserve">kompletnog umivaonika za osobe smanjene pokretljivosti </t>
    </r>
    <r>
      <rPr>
        <sz val="11"/>
        <rFont val="Calibri"/>
        <family val="2"/>
        <charset val="238"/>
        <scheme val="minor"/>
      </rPr>
      <t>,  koji se sastoji od:</t>
    </r>
  </si>
  <si>
    <r>
      <t xml:space="preserve">stojeće </t>
    </r>
    <r>
      <rPr>
        <b/>
        <sz val="11"/>
        <rFont val="Calibri"/>
        <family val="2"/>
        <charset val="238"/>
        <scheme val="minor"/>
      </rPr>
      <t>elektronske senzorske armature</t>
    </r>
    <r>
      <rPr>
        <sz val="11"/>
        <rFont val="Calibri"/>
        <family val="2"/>
        <charset val="238"/>
        <scheme val="minor"/>
      </rPr>
      <t xml:space="preserve"> za umivaonik, protuvandalska izvedba s prethodno podesivim mehaničkim miješanjem TV+HV, perlatorom s ograničenjem protoka vode, dva gibljiva crijeva R⅜" za priključak vode sa sitima protiv nečistoća i nepovratnim ventilima. </t>
    </r>
  </si>
  <si>
    <r>
      <t xml:space="preserve">Dobava, prijenos i montaža </t>
    </r>
    <r>
      <rPr>
        <b/>
        <sz val="11"/>
        <rFont val="Calibri"/>
        <family val="2"/>
        <charset val="238"/>
        <scheme val="minor"/>
      </rPr>
      <t>kompletnog WC-a</t>
    </r>
    <r>
      <rPr>
        <sz val="11"/>
        <rFont val="Calibri"/>
        <family val="2"/>
        <charset val="238"/>
        <scheme val="minor"/>
      </rPr>
      <t xml:space="preserve"> ,  koji se sastoji od:</t>
    </r>
  </si>
  <si>
    <r>
      <t xml:space="preserve">Dobava, prijenos i montaža </t>
    </r>
    <r>
      <rPr>
        <b/>
        <sz val="11"/>
        <rFont val="Calibri"/>
        <family val="2"/>
        <charset val="238"/>
        <scheme val="minor"/>
      </rPr>
      <t>kompletnog umivaonika</t>
    </r>
    <r>
      <rPr>
        <sz val="11"/>
        <rFont val="Calibri"/>
        <family val="2"/>
        <charset val="238"/>
        <scheme val="minor"/>
      </rPr>
      <t>,  koji se sastoji od:</t>
    </r>
  </si>
  <si>
    <r>
      <t xml:space="preserve">Dobava, prijenos i montaža </t>
    </r>
    <r>
      <rPr>
        <b/>
        <sz val="11"/>
        <rFont val="Calibri"/>
        <family val="2"/>
        <charset val="238"/>
        <scheme val="minor"/>
      </rPr>
      <t>kompletnog pisoara</t>
    </r>
    <r>
      <rPr>
        <sz val="11"/>
        <rFont val="Calibri"/>
        <family val="2"/>
        <charset val="238"/>
        <scheme val="minor"/>
      </rPr>
      <t xml:space="preserve"> u zajedničkim sanitarijama:</t>
    </r>
  </si>
  <si>
    <r>
      <rPr>
        <b/>
        <sz val="11"/>
        <rFont val="Calibri"/>
        <family val="2"/>
        <charset val="238"/>
        <scheme val="minor"/>
      </rPr>
      <t xml:space="preserve">Sanitarna kanta </t>
    </r>
    <r>
      <rPr>
        <sz val="11"/>
        <rFont val="Calibri"/>
        <family val="2"/>
        <charset val="238"/>
        <scheme val="minor"/>
      </rPr>
      <t>za smeće-PVC, 16 l, otvaranje nogom</t>
    </r>
  </si>
  <si>
    <r>
      <rPr>
        <b/>
        <sz val="11"/>
        <rFont val="Calibri"/>
        <family val="2"/>
        <charset val="238"/>
        <scheme val="minor"/>
      </rPr>
      <t xml:space="preserve">Sanitarna kanta </t>
    </r>
    <r>
      <rPr>
        <sz val="11"/>
        <rFont val="Calibri"/>
        <family val="2"/>
        <charset val="238"/>
        <scheme val="minor"/>
      </rPr>
      <t>za smeće-PVC, 8 l, otvaranje nogom</t>
    </r>
  </si>
  <si>
    <r>
      <rPr>
        <b/>
        <sz val="11"/>
        <rFont val="Calibri"/>
        <family val="2"/>
        <charset val="238"/>
        <scheme val="minor"/>
      </rPr>
      <t>Ogledalo</t>
    </r>
    <r>
      <rPr>
        <sz val="11"/>
        <rFont val="Calibri"/>
        <family val="2"/>
        <charset val="238"/>
        <scheme val="minor"/>
      </rPr>
      <t xml:space="preserve"> 800x600x5 mm (±5%), montirano
na ploču izrađenu od iverice oplemenjene melaminskom
folijom debljine 18mm obrubljeno keder
trakom T-profila u, otpornom na ogrebotine. Pripremljeno za montažu na zid.</t>
    </r>
  </si>
  <si>
    <r>
      <rPr>
        <b/>
        <sz val="11"/>
        <rFont val="Calibri"/>
        <family val="2"/>
        <charset val="238"/>
        <scheme val="minor"/>
      </rPr>
      <t>Sapunara</t>
    </r>
    <r>
      <rPr>
        <sz val="11"/>
        <rFont val="Calibri"/>
        <family val="2"/>
        <charset val="238"/>
        <scheme val="minor"/>
      </rPr>
      <t xml:space="preserve">-Dozator za kremasti sapun  od kvalitetne ABS plastike u bijeloj boji. Količina punjenja 0,8 l (±5%). Prozorčić za kontrolu razine napunjenosti, s mogućnošću punjenja. Volumen 0,8 l </t>
    </r>
  </si>
  <si>
    <r>
      <rPr>
        <b/>
        <sz val="11"/>
        <rFont val="Calibri"/>
        <family val="2"/>
        <charset val="238"/>
        <scheme val="minor"/>
      </rPr>
      <t xml:space="preserve">Držač ručnika </t>
    </r>
    <r>
      <rPr>
        <sz val="11"/>
        <rFont val="Calibri"/>
        <family val="2"/>
        <charset val="238"/>
        <scheme val="minor"/>
      </rPr>
      <t>- kromirani  za pričvršćivanje na zid- Materijal izrade: mesing, završna obrada: krom</t>
    </r>
  </si>
  <si>
    <r>
      <rPr>
        <b/>
        <sz val="11"/>
        <rFont val="Calibri"/>
        <family val="2"/>
        <charset val="238"/>
        <scheme val="minor"/>
      </rPr>
      <t>Držač ručnika</t>
    </r>
    <r>
      <rPr>
        <sz val="11"/>
        <rFont val="Calibri"/>
        <family val="2"/>
        <charset val="238"/>
        <scheme val="minor"/>
      </rPr>
      <t xml:space="preserve"> - rolo za pričvršćivanje na zid- Materijal izrade: mesing, završna obrada: krom</t>
    </r>
  </si>
  <si>
    <r>
      <rPr>
        <b/>
        <sz val="11"/>
        <rFont val="Calibri"/>
        <family val="2"/>
        <charset val="238"/>
        <scheme val="minor"/>
      </rPr>
      <t>Vakum vješalica</t>
    </r>
    <r>
      <rPr>
        <sz val="11"/>
        <rFont val="Calibri"/>
        <family val="2"/>
        <charset val="238"/>
        <scheme val="minor"/>
      </rPr>
      <t xml:space="preserve"> od kroma za ugradnju na stolariju. Montaža bez bušenja, vakuum tehnologijom, i na neravnim površinama. </t>
    </r>
  </si>
</sst>
</file>

<file path=xl/styles.xml><?xml version="1.0" encoding="utf-8"?>
<styleSheet xmlns="http://schemas.openxmlformats.org/spreadsheetml/2006/main">
  <numFmts count="48">
    <numFmt numFmtId="7" formatCode="#,##0.00\ &quot;kn&quot;;\-#,##0.00\ &quot;kn&quot;"/>
    <numFmt numFmtId="41" formatCode="_-* #,##0\ _k_n_-;\-* #,##0\ _k_n_-;_-* &quot;-&quot;\ _k_n_-;_-@_-"/>
    <numFmt numFmtId="44" formatCode="_-* #,##0.00\ &quot;kn&quot;_-;\-* #,##0.00\ &quot;kn&quot;_-;_-* &quot;-&quot;??\ &quot;kn&quot;_-;_-@_-"/>
    <numFmt numFmtId="43" formatCode="_-* #,##0.00\ _k_n_-;\-* #,##0.00\ _k_n_-;_-* &quot;-&quot;??\ _k_n_-;_-@_-"/>
    <numFmt numFmtId="164" formatCode="_-* #,##0.00_-;\-* #,##0.00_-;_-* &quot;-&quot;??_-;_-@_-"/>
    <numFmt numFmtId="165" formatCode="#,##0.00&quot;     &quot;;[Red]#,##0.00&quot;     &quot;"/>
    <numFmt numFmtId="166" formatCode="[$-41A]#,##0.00"/>
    <numFmt numFmtId="167" formatCode="#&quot;.&quot;"/>
    <numFmt numFmtId="168" formatCode="_-* #,##0.00\ _k_n_-;\-* #,##0.00\ _k_n_-;_-* \-??\ _k_n_-;_-@_-"/>
    <numFmt numFmtId="169" formatCode="#,##0.00\ &quot;kn&quot;"/>
    <numFmt numFmtId="170" formatCode="_-* #,##0.00\ [$€-1]_-;\-* #,##0.00\ [$€-1]_-;_-* &quot;-&quot;??\ [$€-1]_-;_-@_-"/>
    <numFmt numFmtId="171" formatCode="&quot; &quot;#,##0.00&quot; &quot;[$kn-41A]&quot; &quot;;&quot;-&quot;#,##0.00&quot; &quot;[$kn-41A]&quot; &quot;;&quot; -&quot;00&quot; &quot;[$kn-41A]&quot; &quot;;&quot; &quot;@&quot; &quot;"/>
    <numFmt numFmtId="172" formatCode="#,##0.00\ [$€-1];\-#,##0.00\ [$€-1]"/>
    <numFmt numFmtId="173" formatCode="#,##0.00\ [$€-1]"/>
    <numFmt numFmtId="174" formatCode="&quot;$&quot;#,##0_);\(&quot;$&quot;#,##0\)"/>
    <numFmt numFmtId="175" formatCode="_(&quot;kn&quot;\ * #,##0.00_);_(&quot;kn&quot;\ * \(#,##0.00\);_(&quot;kn&quot;\ * &quot;-&quot;??_);_(@_)"/>
    <numFmt numFmtId="176" formatCode="#,##0.00&quot;      &quot;;\-#,##0.00&quot;      &quot;;&quot; -&quot;#&quot;      &quot;;@\ "/>
    <numFmt numFmtId="177" formatCode="[$-41A]General"/>
    <numFmt numFmtId="178" formatCode="#,##0.00\ [$kn-41A]"/>
    <numFmt numFmtId="179" formatCode="_(* #,##0.00_);_(* \(#,##0.00\);_(* \-??_);_(@_)"/>
    <numFmt numFmtId="180" formatCode="#,##0;\-#,##0;&quot;-&quot;"/>
    <numFmt numFmtId="181" formatCode="#,##0.00;\-#,##0.00;&quot;-&quot;"/>
    <numFmt numFmtId="182" formatCode="#,##0%;\-#,##0%;&quot;- &quot;"/>
    <numFmt numFmtId="183" formatCode="#,##0.0%;\-#,##0.0%;&quot;- &quot;"/>
    <numFmt numFmtId="184" formatCode="#,##0.00%;\-#,##0.00%;&quot;- &quot;"/>
    <numFmt numFmtId="185" formatCode="#,##0.0;\-#,##0.0;&quot;-&quot;"/>
    <numFmt numFmtId="186" formatCode="[$EUR]\ #,##0.00"/>
    <numFmt numFmtId="187" formatCode="0\."/>
    <numFmt numFmtId="188" formatCode="#,##0.000;\-#,##0.000;&quot;&quot;"/>
    <numFmt numFmtId="189" formatCode="_-* #,##0_-;\-* #,##0_-;_-* \-_-;_-@_-"/>
    <numFmt numFmtId="190" formatCode="_-* #,##0.00_-;\-* #,##0.00_-;_-* \-??_-;_-@_-"/>
    <numFmt numFmtId="191" formatCode="_([$€]* #,##0.00_);_([$€]* \(#,##0.00\);_([$€]* \-??_);_(@_)"/>
    <numFmt numFmtId="192" formatCode="_ [$€]\ * #,##0.00_ ;_ [$€]\ * \-#,##0.00_ ;_ [$€]\ * &quot;-&quot;??_ ;_ @_ "/>
    <numFmt numFmtId="193" formatCode="&quot;$&quot;#,##0;[Red]\-&quot;$&quot;#,##0"/>
    <numFmt numFmtId="194" formatCode="&quot;$&quot;#,##0.00;[Red]\-&quot;$&quot;#,##0.00"/>
    <numFmt numFmtId="195" formatCode="[Red]0%;[Red]\(0%\)"/>
    <numFmt numFmtId="196" formatCode="_-&quot;kn&quot;\ * #,##0.00_-;\-&quot;kn&quot;\ * #,##0.00_-;_-&quot;kn&quot;\ * &quot;-&quot;??_-;_-@_-"/>
    <numFmt numFmtId="197" formatCode="_-* #,##0.00\ [$€-1]_-;\-* #,##0.00\ [$€-1]_-;_-* &quot;-&quot;??\ [$€-1]_-"/>
    <numFmt numFmtId="198" formatCode="_-* #,##0.00_K_n_-;\-* #,##0.00_K_n_-;_-* &quot;-&quot;??_K_n_-;_-@_-"/>
    <numFmt numFmtId="199" formatCode="General_)"/>
    <numFmt numFmtId="200" formatCode="_-* #,##0.00\ _K_n_-;\-* #,##0.00\ _K_n_-;_-* &quot;-&quot;??\ _K_n_-;_-@_-"/>
    <numFmt numFmtId="201" formatCode="#,##0.00_ ;[Red]\-#,##0.00\ "/>
    <numFmt numFmtId="202" formatCode="#,##0.00\ [$EUR]"/>
    <numFmt numFmtId="203" formatCode="d/m/;@"/>
    <numFmt numFmtId="204" formatCode="00&quot;. &quot;"/>
    <numFmt numFmtId="205" formatCode="#,##0.00\ _k_n"/>
    <numFmt numFmtId="206" formatCode="0.0"/>
    <numFmt numFmtId="207" formatCode="#,##0;[Red]#,##0"/>
  </numFmts>
  <fonts count="20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Calibri"/>
      <family val="2"/>
      <scheme val="minor"/>
    </font>
    <font>
      <sz val="11"/>
      <color rgb="FFFF0000"/>
      <name val="Calibri"/>
      <family val="2"/>
      <scheme val="minor"/>
    </font>
    <font>
      <b/>
      <sz val="11"/>
      <name val="Calibri"/>
      <family val="2"/>
      <charset val="238"/>
      <scheme val="minor"/>
    </font>
    <font>
      <sz val="11"/>
      <name val="Calibri"/>
      <family val="2"/>
      <charset val="238"/>
      <scheme val="minor"/>
    </font>
    <font>
      <b/>
      <sz val="11"/>
      <color theme="1"/>
      <name val="Calibri"/>
      <family val="2"/>
      <charset val="238"/>
      <scheme val="minor"/>
    </font>
    <font>
      <sz val="11"/>
      <color theme="1"/>
      <name val="Calibri"/>
      <family val="2"/>
      <scheme val="minor"/>
    </font>
    <font>
      <sz val="11"/>
      <color rgb="FFFF0000"/>
      <name val="Calibri"/>
      <family val="2"/>
      <charset val="238"/>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b/>
      <sz val="11"/>
      <color rgb="FFFF0000"/>
      <name val="Calibri"/>
      <family val="2"/>
      <charset val="238"/>
      <scheme val="minor"/>
    </font>
    <font>
      <b/>
      <sz val="11"/>
      <name val="Calibri"/>
      <family val="2"/>
      <scheme val="minor"/>
    </font>
    <font>
      <sz val="11"/>
      <color theme="9" tint="-0.249977111117893"/>
      <name val="Calibri"/>
      <family val="2"/>
      <charset val="238"/>
      <scheme val="minor"/>
    </font>
    <font>
      <sz val="10"/>
      <name val="Arial"/>
      <family val="2"/>
      <charset val="238"/>
    </font>
    <font>
      <sz val="11"/>
      <color rgb="FF00B050"/>
      <name val="Calibri"/>
      <family val="2"/>
      <scheme val="minor"/>
    </font>
    <font>
      <sz val="12"/>
      <name val="Arial"/>
      <family val="2"/>
      <charset val="238"/>
    </font>
    <font>
      <b/>
      <sz val="10"/>
      <name val="Arial"/>
      <family val="2"/>
      <charset val="238"/>
    </font>
    <font>
      <sz val="10"/>
      <name val="Arial"/>
      <family val="2"/>
    </font>
    <font>
      <sz val="11"/>
      <name val="Arial"/>
      <family val="2"/>
      <charset val="238"/>
    </font>
    <font>
      <sz val="10"/>
      <name val="Helv"/>
    </font>
    <font>
      <vertAlign val="superscript"/>
      <sz val="11"/>
      <name val="Calibri"/>
      <family val="2"/>
      <scheme val="minor"/>
    </font>
    <font>
      <b/>
      <sz val="11"/>
      <color rgb="FFFF0000"/>
      <name val="Calibri"/>
      <family val="2"/>
      <scheme val="minor"/>
    </font>
    <font>
      <sz val="11"/>
      <color rgb="FF00B0F0"/>
      <name val="Calibri"/>
      <family val="2"/>
      <scheme val="minor"/>
    </font>
    <font>
      <strike/>
      <sz val="11"/>
      <name val="Calibri"/>
      <family val="2"/>
      <scheme val="minor"/>
    </font>
    <font>
      <sz val="11"/>
      <color rgb="FF000000"/>
      <name val="Liberation Sans"/>
      <charset val="238"/>
    </font>
    <font>
      <sz val="11"/>
      <color rgb="FF000000"/>
      <name val="Arial1"/>
      <charset val="238"/>
    </font>
    <font>
      <sz val="11"/>
      <color indexed="8"/>
      <name val="Calibri"/>
      <family val="2"/>
      <charset val="238"/>
    </font>
    <font>
      <sz val="10"/>
      <color rgb="FF000000"/>
      <name val="Arial"/>
      <family val="2"/>
      <charset val="238"/>
    </font>
    <font>
      <sz val="11"/>
      <color rgb="FF000000"/>
      <name val="Calibri"/>
      <family val="2"/>
      <charset val="1"/>
    </font>
    <font>
      <sz val="11"/>
      <color indexed="8"/>
      <name val="Calibri"/>
      <family val="2"/>
    </font>
    <font>
      <sz val="11"/>
      <name val="Calibri"/>
      <family val="2"/>
      <charset val="238"/>
    </font>
    <font>
      <i/>
      <sz val="11"/>
      <name val="Calibri"/>
      <family val="2"/>
      <charset val="238"/>
    </font>
    <font>
      <sz val="10"/>
      <name val="Arial"/>
      <family val="2"/>
      <charset val="238"/>
    </font>
    <font>
      <sz val="10"/>
      <name val="MS Sans Serif"/>
      <family val="2"/>
      <charset val="238"/>
    </font>
    <font>
      <sz val="11"/>
      <name val="Arial"/>
      <family val="1"/>
    </font>
    <font>
      <sz val="11"/>
      <color rgb="FF000000"/>
      <name val="Calibri"/>
      <family val="2"/>
      <scheme val="minor"/>
    </font>
    <font>
      <sz val="10"/>
      <name val="Helv"/>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b/>
      <sz val="11"/>
      <color indexed="8"/>
      <name val="Calibri"/>
      <family val="2"/>
      <charset val="238"/>
    </font>
    <font>
      <b/>
      <sz val="11"/>
      <color indexed="10"/>
      <name val="Calibri"/>
      <family val="2"/>
      <charset val="238"/>
    </font>
    <font>
      <sz val="10"/>
      <color indexed="8"/>
      <name val="Arial"/>
      <family val="2"/>
      <charset val="238"/>
    </font>
    <font>
      <sz val="10"/>
      <name val="Arial CE"/>
      <charset val="238"/>
    </font>
    <font>
      <sz val="11"/>
      <name val="Arial"/>
      <family val="2"/>
    </font>
    <font>
      <sz val="10"/>
      <color theme="1"/>
      <name val="Arial"/>
      <family val="2"/>
      <charset val="238"/>
    </font>
    <font>
      <sz val="12"/>
      <color indexed="8"/>
      <name val="Arial"/>
      <family val="2"/>
      <charset val="238"/>
    </font>
    <font>
      <sz val="8"/>
      <name val="Arial"/>
      <family val="2"/>
    </font>
    <font>
      <sz val="9"/>
      <color indexed="8"/>
      <name val="Tahoma"/>
      <family val="2"/>
      <charset val="238"/>
    </font>
    <font>
      <sz val="11"/>
      <color indexed="18"/>
      <name val="Arial"/>
      <family val="2"/>
    </font>
    <font>
      <sz val="9"/>
      <name val="Tahoma"/>
      <family val="2"/>
      <charset val="238"/>
    </font>
    <font>
      <sz val="10"/>
      <color indexed="8"/>
      <name val="Tahoma"/>
      <family val="2"/>
      <charset val="238"/>
    </font>
    <font>
      <sz val="10"/>
      <color theme="1"/>
      <name val="Arial2"/>
    </font>
    <font>
      <sz val="11"/>
      <color indexed="10"/>
      <name val="Calibri"/>
      <family val="2"/>
      <charset val="238"/>
    </font>
    <font>
      <b/>
      <sz val="18"/>
      <color indexed="56"/>
      <name val="Cambria"/>
      <family val="2"/>
      <charset val="238"/>
    </font>
    <font>
      <sz val="11"/>
      <color indexed="17"/>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name val="Helv"/>
      <family val="2"/>
    </font>
    <font>
      <sz val="12"/>
      <name val="Arial"/>
      <family val="2"/>
    </font>
    <font>
      <sz val="11"/>
      <name val="Times New Roman"/>
      <family val="1"/>
      <charset val="238"/>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0"/>
      <name val="Times New Roman"/>
      <family val="1"/>
      <charset val="238"/>
    </font>
    <font>
      <sz val="10"/>
      <name val="Arial CE"/>
      <family val="2"/>
      <charset val="238"/>
    </font>
    <font>
      <sz val="12"/>
      <color indexed="8"/>
      <name val="Calibri"/>
      <family val="2"/>
      <charset val="238"/>
    </font>
    <font>
      <sz val="11"/>
      <color indexed="9"/>
      <name val="Calibri"/>
      <family val="2"/>
      <charset val="238"/>
    </font>
    <font>
      <u/>
      <sz val="10"/>
      <color indexed="12"/>
      <name val="Arial"/>
      <family val="2"/>
      <charset val="238"/>
    </font>
    <font>
      <b/>
      <sz val="11"/>
      <color indexed="52"/>
      <name val="Calibri"/>
      <family val="2"/>
      <charset val="238"/>
    </font>
    <font>
      <sz val="11"/>
      <color indexed="20"/>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62"/>
      <name val="Calibri"/>
      <family val="2"/>
      <charset val="238"/>
    </font>
    <font>
      <sz val="10"/>
      <name val="AvantGarde Md BT"/>
      <family val="2"/>
      <charset val="238"/>
    </font>
    <font>
      <sz val="11"/>
      <name val="7_Futura"/>
    </font>
    <font>
      <sz val="10"/>
      <name val="Helv"/>
      <charset val="204"/>
    </font>
    <font>
      <sz val="10"/>
      <color indexed="9"/>
      <name val="Arial"/>
      <family val="2"/>
      <charset val="238"/>
    </font>
    <font>
      <sz val="10"/>
      <color indexed="22"/>
      <name val="Arial"/>
      <family val="2"/>
      <charset val="238"/>
    </font>
    <font>
      <sz val="10"/>
      <color indexed="8"/>
      <name val="Sans"/>
    </font>
    <font>
      <sz val="12"/>
      <name val="Tms Rmn"/>
    </font>
    <font>
      <sz val="10"/>
      <color indexed="20"/>
      <name val="Arial"/>
      <family val="2"/>
      <charset val="238"/>
    </font>
    <font>
      <b/>
      <sz val="11"/>
      <color indexed="60"/>
      <name val="Calibri"/>
      <family val="2"/>
    </font>
    <font>
      <b/>
      <sz val="10"/>
      <name val="MS Sans Serif"/>
      <family val="2"/>
      <charset val="238"/>
    </font>
    <font>
      <sz val="10"/>
      <color indexed="8"/>
      <name val="Arial"/>
      <family val="2"/>
    </font>
    <font>
      <b/>
      <sz val="10"/>
      <color indexed="52"/>
      <name val="Arial"/>
      <family val="2"/>
      <charset val="238"/>
    </font>
    <font>
      <b/>
      <sz val="10"/>
      <color indexed="22"/>
      <name val="Arial"/>
      <family val="2"/>
      <charset val="238"/>
    </font>
    <font>
      <sz val="10"/>
      <name val="Mangal"/>
      <family val="2"/>
      <charset val="238"/>
    </font>
    <font>
      <sz val="10"/>
      <color indexed="0"/>
      <name val="MS Sans Serif"/>
      <family val="2"/>
      <charset val="238"/>
    </font>
    <font>
      <sz val="10"/>
      <color indexed="12"/>
      <name val="Arial"/>
      <family val="2"/>
    </font>
    <font>
      <i/>
      <sz val="10"/>
      <color indexed="23"/>
      <name val="Arial"/>
      <family val="2"/>
      <charset val="238"/>
    </font>
    <font>
      <sz val="10"/>
      <color indexed="17"/>
      <name val="Arial"/>
      <family val="2"/>
      <charset val="238"/>
    </font>
    <font>
      <b/>
      <sz val="12"/>
      <name val="Arial"/>
      <family val="2"/>
    </font>
    <font>
      <b/>
      <sz val="15"/>
      <color indexed="56"/>
      <name val="Arial"/>
      <family val="2"/>
      <charset val="238"/>
    </font>
    <font>
      <b/>
      <sz val="13"/>
      <color indexed="56"/>
      <name val="Arial"/>
      <family val="2"/>
      <charset val="238"/>
    </font>
    <font>
      <b/>
      <sz val="11"/>
      <color indexed="56"/>
      <name val="Arial"/>
      <family val="2"/>
      <charset val="238"/>
    </font>
    <font>
      <sz val="10"/>
      <color indexed="62"/>
      <name val="Arial"/>
      <family val="2"/>
      <charset val="238"/>
    </font>
    <font>
      <b/>
      <sz val="10"/>
      <color indexed="63"/>
      <name val="Arial"/>
      <family val="2"/>
      <charset val="238"/>
    </font>
    <font>
      <sz val="10"/>
      <name val="Futura Bk L2"/>
      <family val="2"/>
      <charset val="238"/>
    </font>
    <font>
      <sz val="10"/>
      <color indexed="14"/>
      <name val="Arial"/>
      <family val="2"/>
    </font>
    <font>
      <sz val="10"/>
      <color indexed="52"/>
      <name val="Arial"/>
      <family val="2"/>
      <charset val="238"/>
    </font>
    <font>
      <sz val="14"/>
      <name val="Futura Bk L2"/>
      <family val="2"/>
      <charset val="238"/>
    </font>
    <font>
      <sz val="10"/>
      <color indexed="60"/>
      <name val="Arial"/>
      <family val="2"/>
      <charset val="238"/>
    </font>
    <font>
      <sz val="8"/>
      <name val="Arial Narrow"/>
      <family val="2"/>
      <charset val="238"/>
    </font>
    <font>
      <sz val="10"/>
      <name val="ElegaGarmnd BT"/>
      <family val="1"/>
    </font>
    <font>
      <sz val="11"/>
      <color indexed="8"/>
      <name val="Arial"/>
      <family val="2"/>
    </font>
    <font>
      <sz val="10"/>
      <name val="Myriad Pro"/>
      <family val="2"/>
    </font>
    <font>
      <sz val="11"/>
      <color indexed="8"/>
      <name val="Trebuchet MS"/>
      <family val="2"/>
      <charset val="238"/>
    </font>
    <font>
      <sz val="11"/>
      <name val="Arial CE"/>
      <charset val="238"/>
    </font>
    <font>
      <b/>
      <sz val="18"/>
      <color indexed="62"/>
      <name val="Cambria"/>
      <family val="2"/>
      <charset val="238"/>
    </font>
    <font>
      <u/>
      <sz val="8"/>
      <color indexed="36"/>
      <name val="Arial"/>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8"/>
      <color indexed="62"/>
      <name val="Cambria"/>
      <family val="2"/>
      <charset val="238"/>
    </font>
    <font>
      <sz val="11"/>
      <color rgb="FF006100"/>
      <name val="Calibri"/>
      <family val="2"/>
      <charset val="238"/>
    </font>
    <font>
      <sz val="11"/>
      <color rgb="FF000000"/>
      <name val="Calibri"/>
      <family val="2"/>
      <charset val="238"/>
    </font>
    <font>
      <u/>
      <sz val="10"/>
      <color theme="10"/>
      <name val="AvantGarde Md BT"/>
      <family val="2"/>
      <charset val="238"/>
    </font>
    <font>
      <b/>
      <sz val="11"/>
      <color rgb="FF3F3F3F"/>
      <name val="Calibri"/>
      <family val="2"/>
      <charset val="238"/>
    </font>
    <font>
      <b/>
      <sz val="11"/>
      <color rgb="FFFA7D00"/>
      <name val="Calibri"/>
      <family val="2"/>
      <charset val="238"/>
    </font>
    <font>
      <sz val="11"/>
      <color rgb="FF9C0006"/>
      <name val="Calibri"/>
      <family val="2"/>
      <charset val="238"/>
    </font>
    <font>
      <b/>
      <sz val="15"/>
      <color theme="3"/>
      <name val="Calibri"/>
      <family val="2"/>
      <charset val="238"/>
    </font>
    <font>
      <sz val="18"/>
      <color theme="3"/>
      <name val="Cambria"/>
      <family val="2"/>
      <charset val="238"/>
    </font>
    <font>
      <b/>
      <sz val="18"/>
      <color theme="3"/>
      <name val="Cambria"/>
      <family val="2"/>
      <charset val="238"/>
    </font>
    <font>
      <b/>
      <sz val="13"/>
      <color theme="3"/>
      <name val="Calibri"/>
      <family val="2"/>
      <charset val="238"/>
    </font>
    <font>
      <b/>
      <sz val="11"/>
      <color theme="3"/>
      <name val="Calibri"/>
      <family val="2"/>
      <charset val="238"/>
    </font>
    <font>
      <sz val="11"/>
      <color rgb="FF9C6500"/>
      <name val="Calibri"/>
      <family val="2"/>
      <charset val="238"/>
    </font>
    <font>
      <sz val="12"/>
      <color theme="1"/>
      <name val="Calibri"/>
      <family val="2"/>
      <charset val="238"/>
      <scheme val="minor"/>
    </font>
    <font>
      <sz val="12"/>
      <color rgb="FF000000"/>
      <name val="Helvetica Neue"/>
    </font>
    <font>
      <sz val="12"/>
      <name val="HRHelvetica"/>
      <charset val="238"/>
    </font>
    <font>
      <sz val="12"/>
      <name val="CRO_Swiss_Light-Normal"/>
    </font>
    <font>
      <sz val="10"/>
      <name val="Times New Roman CE"/>
      <charset val="238"/>
    </font>
    <font>
      <sz val="9"/>
      <color rgb="FF000000"/>
      <name val="Arial Nova"/>
      <family val="2"/>
      <charset val="1"/>
    </font>
    <font>
      <sz val="10"/>
      <name val="Calibri"/>
      <family val="2"/>
      <charset val="238"/>
    </font>
    <font>
      <sz val="11"/>
      <name val="Calibri"/>
      <family val="2"/>
    </font>
    <font>
      <sz val="10"/>
      <name val="Calibri"/>
      <family val="2"/>
      <charset val="238"/>
    </font>
    <font>
      <sz val="10"/>
      <color rgb="FFFF0000"/>
      <name val="Arial"/>
      <family val="2"/>
      <charset val="238"/>
    </font>
    <font>
      <sz val="11"/>
      <name val="Aptos Narrow"/>
      <family val="2"/>
    </font>
    <font>
      <sz val="9.9"/>
      <name val="Calibri"/>
      <family val="2"/>
    </font>
    <font>
      <sz val="11"/>
      <color rgb="FFFF0000"/>
      <name val="Arial"/>
      <family val="2"/>
    </font>
    <font>
      <b/>
      <sz val="11"/>
      <name val="Arial"/>
      <family val="2"/>
    </font>
    <font>
      <b/>
      <sz val="11"/>
      <name val="Arial"/>
      <family val="2"/>
      <charset val="238"/>
    </font>
    <font>
      <b/>
      <sz val="11"/>
      <color rgb="FF00B0F0"/>
      <name val="Calibri"/>
      <family val="2"/>
      <charset val="238"/>
      <scheme val="minor"/>
    </font>
    <font>
      <u/>
      <sz val="11"/>
      <name val="Calibri"/>
      <family val="2"/>
      <charset val="238"/>
      <scheme val="minor"/>
    </font>
    <font>
      <i/>
      <sz val="11"/>
      <name val="Calibri"/>
      <family val="2"/>
      <charset val="238"/>
      <scheme val="minor"/>
    </font>
    <font>
      <b/>
      <i/>
      <sz val="11"/>
      <name val="Calibri"/>
      <family val="2"/>
      <charset val="238"/>
      <scheme val="minor"/>
    </font>
    <font>
      <vertAlign val="superscript"/>
      <sz val="11"/>
      <name val="Calibri"/>
      <family val="2"/>
      <charset val="238"/>
      <scheme val="minor"/>
    </font>
    <font>
      <sz val="9"/>
      <name val="Arial"/>
      <family val="2"/>
      <charset val="238"/>
    </font>
    <font>
      <b/>
      <sz val="10"/>
      <name val="Arial"/>
      <family val="2"/>
    </font>
    <font>
      <sz val="10"/>
      <name val="CRO_Swiss_Con-Normal"/>
      <charset val="238"/>
    </font>
    <font>
      <b/>
      <u/>
      <sz val="11"/>
      <name val="Calibri"/>
      <family val="2"/>
      <charset val="238"/>
      <scheme val="minor"/>
    </font>
    <font>
      <sz val="10"/>
      <color indexed="8"/>
      <name val="CRO_Swiss_Con-Normal"/>
      <family val="2"/>
      <charset val="238"/>
    </font>
    <font>
      <sz val="10"/>
      <name val="Calibri"/>
      <family val="2"/>
      <charset val="238"/>
      <scheme val="minor"/>
    </font>
    <font>
      <b/>
      <sz val="10"/>
      <name val="Calibri"/>
      <family val="2"/>
      <charset val="238"/>
      <scheme val="minor"/>
    </font>
    <font>
      <b/>
      <vertAlign val="subscript"/>
      <sz val="10"/>
      <name val="Calibri"/>
      <family val="2"/>
      <charset val="238"/>
      <scheme val="minor"/>
    </font>
    <font>
      <sz val="12"/>
      <name val="Calibri"/>
      <family val="2"/>
    </font>
    <font>
      <sz val="10"/>
      <name val="Calibri"/>
      <family val="2"/>
      <scheme val="minor"/>
    </font>
    <font>
      <b/>
      <sz val="10"/>
      <name val="Calibri"/>
      <family val="2"/>
      <scheme val="minor"/>
    </font>
    <font>
      <b/>
      <vertAlign val="subscript"/>
      <sz val="10"/>
      <name val="Calibri"/>
      <family val="2"/>
      <scheme val="minor"/>
    </font>
    <font>
      <vertAlign val="subscript"/>
      <sz val="11"/>
      <name val="Calibri"/>
      <family val="2"/>
      <charset val="238"/>
      <scheme val="minor"/>
    </font>
  </fonts>
  <fills count="1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53"/>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26"/>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27"/>
        <bgColor indexed="64"/>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43"/>
      </patternFill>
    </fill>
    <fill>
      <patternFill patternType="solid">
        <fgColor indexed="43"/>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62"/>
      </patternFill>
    </fill>
    <fill>
      <patternFill patternType="solid">
        <fgColor indexed="31"/>
        <bgColor indexed="31"/>
      </patternFill>
    </fill>
    <fill>
      <patternFill patternType="solid">
        <fgColor indexed="22"/>
        <bgColor indexed="22"/>
      </patternFill>
    </fill>
    <fill>
      <patternFill patternType="solid">
        <fgColor indexed="49"/>
        <bgColor indexed="49"/>
      </patternFill>
    </fill>
    <fill>
      <patternFill patternType="solid">
        <fgColor indexed="10"/>
      </patternFill>
    </fill>
    <fill>
      <patternFill patternType="solid">
        <fgColor indexed="47"/>
        <bgColor indexed="47"/>
      </patternFill>
    </fill>
    <fill>
      <patternFill patternType="solid">
        <fgColor indexed="29"/>
        <bgColor indexed="29"/>
      </patternFill>
    </fill>
    <fill>
      <patternFill patternType="solid">
        <fgColor indexed="57"/>
      </patternFill>
    </fill>
    <fill>
      <patternFill patternType="solid">
        <fgColor indexed="26"/>
        <bgColor indexed="26"/>
      </patternFill>
    </fill>
    <fill>
      <patternFill patternType="solid">
        <fgColor indexed="43"/>
        <bgColor indexed="43"/>
      </patternFill>
    </fill>
    <fill>
      <patternFill patternType="solid">
        <fgColor indexed="27"/>
        <bgColor indexed="27"/>
      </patternFill>
    </fill>
    <fill>
      <patternFill patternType="solid">
        <fgColor indexed="44"/>
        <bgColor indexed="44"/>
      </patternFill>
    </fill>
    <fill>
      <patternFill patternType="solid">
        <fgColor indexed="53"/>
      </patternFill>
    </fill>
    <fill>
      <patternFill patternType="solid">
        <fgColor indexed="62"/>
        <bgColor indexed="48"/>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22"/>
      </patternFill>
    </fill>
    <fill>
      <patternFill patternType="solid">
        <fgColor indexed="22"/>
        <bgColor indexed="31"/>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22"/>
        <bgColor indexed="64"/>
      </patternFill>
    </fill>
    <fill>
      <patternFill patternType="solid">
        <fgColor indexed="56"/>
        <bgColor indexed="64"/>
      </patternFill>
    </fill>
    <fill>
      <patternFill patternType="solid">
        <fgColor indexed="10"/>
        <bgColor indexed="64"/>
      </patternFill>
    </fill>
    <fill>
      <patternFill patternType="solid">
        <fgColor indexed="54"/>
        <bgColor indexed="64"/>
      </patternFill>
    </fill>
    <fill>
      <patternFill patternType="solid">
        <fgColor indexed="9"/>
        <bgColor indexed="64"/>
      </patternFill>
    </fill>
    <fill>
      <patternFill patternType="solid">
        <fgColor indexed="26"/>
        <bgColor indexed="43"/>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thick">
        <color theme="4" tint="0.499893185216834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926">
    <xf numFmtId="0" fontId="0" fillId="0" borderId="0"/>
    <xf numFmtId="0" fontId="11" fillId="0" borderId="0"/>
    <xf numFmtId="0" fontId="17" fillId="8" borderId="8" applyNumberFormat="0" applyFont="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20" fillId="3" borderId="0" applyNumberFormat="0" applyBorder="0" applyAlignment="0" applyProtection="0"/>
    <xf numFmtId="0" fontId="21" fillId="6" borderId="4" applyNumberFormat="0" applyAlignment="0" applyProtection="0"/>
    <xf numFmtId="0" fontId="22" fillId="7" borderId="7" applyNumberFormat="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0" borderId="1" applyNumberFormat="0" applyFill="0" applyAlignment="0" applyProtection="0"/>
    <xf numFmtId="0" fontId="26" fillId="0" borderId="2" applyNumberFormat="0" applyFill="0" applyAlignment="0" applyProtection="0"/>
    <xf numFmtId="0" fontId="27" fillId="0" borderId="3" applyNumberFormat="0" applyFill="0" applyAlignment="0" applyProtection="0"/>
    <xf numFmtId="0" fontId="27" fillId="0" borderId="0" applyNumberFormat="0" applyFill="0" applyBorder="0" applyAlignment="0" applyProtection="0"/>
    <xf numFmtId="0" fontId="28" fillId="5" borderId="4" applyNumberFormat="0" applyAlignment="0" applyProtection="0"/>
    <xf numFmtId="0" fontId="29" fillId="0" borderId="6" applyNumberFormat="0" applyFill="0" applyAlignment="0" applyProtection="0"/>
    <xf numFmtId="0" fontId="30" fillId="4" borderId="0" applyNumberFormat="0" applyBorder="0" applyAlignment="0" applyProtection="0"/>
    <xf numFmtId="0" fontId="31" fillId="6" borderId="5"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13" fillId="0" borderId="0" applyNumberFormat="0" applyFill="0" applyBorder="0" applyAlignment="0" applyProtection="0"/>
    <xf numFmtId="168" fontId="37" fillId="0" borderId="0" applyBorder="0" applyProtection="0"/>
    <xf numFmtId="0" fontId="37" fillId="0" borderId="0"/>
    <xf numFmtId="0" fontId="10" fillId="0" borderId="0"/>
    <xf numFmtId="0" fontId="9" fillId="0" borderId="0"/>
    <xf numFmtId="0" fontId="9" fillId="0" borderId="0"/>
    <xf numFmtId="0" fontId="9" fillId="0" borderId="0"/>
    <xf numFmtId="0" fontId="8" fillId="0" borderId="0"/>
    <xf numFmtId="0" fontId="7" fillId="0" borderId="0"/>
    <xf numFmtId="4" fontId="3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17" fillId="0" borderId="0" applyFont="0" applyFill="0" applyBorder="0" applyAlignment="0" applyProtection="0"/>
    <xf numFmtId="0" fontId="37" fillId="0" borderId="0"/>
    <xf numFmtId="0" fontId="43" fillId="0" borderId="0"/>
    <xf numFmtId="0" fontId="43" fillId="0" borderId="0"/>
    <xf numFmtId="0" fontId="42" fillId="0" borderId="0"/>
    <xf numFmtId="0" fontId="37" fillId="0" borderId="0"/>
    <xf numFmtId="0" fontId="5" fillId="0" borderId="0"/>
    <xf numFmtId="0" fontId="37" fillId="0" borderId="0"/>
    <xf numFmtId="0" fontId="37" fillId="0" borderId="0"/>
    <xf numFmtId="0" fontId="3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8" fillId="0" borderId="0"/>
    <xf numFmtId="4" fontId="39" fillId="0" borderId="0"/>
    <xf numFmtId="44" fontId="17" fillId="0" borderId="0" applyFont="0" applyFill="0" applyBorder="0" applyAlignment="0" applyProtection="0"/>
    <xf numFmtId="0" fontId="37" fillId="0" borderId="0"/>
    <xf numFmtId="0" fontId="48" fillId="0" borderId="0"/>
    <xf numFmtId="171" fontId="49" fillId="0" borderId="0"/>
    <xf numFmtId="0" fontId="50" fillId="0" borderId="0"/>
    <xf numFmtId="171" fontId="51" fillId="0" borderId="0"/>
    <xf numFmtId="0" fontId="52" fillId="0" borderId="0"/>
    <xf numFmtId="0" fontId="50" fillId="0" borderId="0"/>
    <xf numFmtId="0" fontId="3" fillId="0" borderId="0"/>
    <xf numFmtId="0" fontId="53" fillId="0" borderId="0"/>
    <xf numFmtId="43" fontId="3" fillId="0" borderId="0" applyFont="0" applyFill="0" applyBorder="0" applyAlignment="0" applyProtection="0"/>
    <xf numFmtId="0" fontId="37" fillId="0" borderId="0"/>
    <xf numFmtId="0" fontId="41" fillId="0" borderId="0"/>
    <xf numFmtId="0" fontId="56" fillId="0" borderId="0"/>
    <xf numFmtId="0" fontId="37" fillId="0" borderId="0"/>
    <xf numFmtId="0" fontId="57" fillId="0" borderId="0"/>
    <xf numFmtId="0" fontId="37" fillId="0" borderId="0"/>
    <xf numFmtId="0" fontId="37" fillId="0" borderId="0"/>
    <xf numFmtId="0" fontId="57" fillId="0" borderId="0"/>
    <xf numFmtId="0" fontId="57" fillId="0" borderId="0"/>
    <xf numFmtId="0" fontId="57" fillId="0" borderId="0"/>
    <xf numFmtId="0" fontId="57" fillId="0" borderId="0"/>
    <xf numFmtId="0" fontId="37" fillId="0" borderId="0"/>
    <xf numFmtId="0" fontId="37" fillId="0" borderId="0"/>
    <xf numFmtId="0" fontId="37" fillId="0" borderId="0"/>
    <xf numFmtId="0" fontId="37" fillId="0" borderId="0"/>
    <xf numFmtId="0" fontId="3" fillId="0" borderId="0"/>
    <xf numFmtId="9" fontId="41" fillId="0" borderId="0" applyFont="0" applyFill="0" applyBorder="0" applyAlignment="0" applyProtection="0"/>
    <xf numFmtId="0" fontId="58" fillId="0" borderId="0"/>
    <xf numFmtId="0" fontId="58" fillId="0" borderId="0"/>
    <xf numFmtId="0" fontId="3" fillId="0" borderId="0"/>
    <xf numFmtId="0" fontId="61" fillId="0" borderId="1" applyNumberFormat="0" applyFill="0" applyAlignment="0" applyProtection="0"/>
    <xf numFmtId="0" fontId="62" fillId="0" borderId="2" applyNumberFormat="0" applyFill="0" applyAlignment="0" applyProtection="0"/>
    <xf numFmtId="0" fontId="63" fillId="0" borderId="3" applyNumberFormat="0" applyFill="0" applyAlignment="0" applyProtection="0"/>
    <xf numFmtId="0" fontId="63" fillId="0" borderId="0" applyNumberFormat="0" applyFill="0" applyBorder="0" applyAlignment="0" applyProtection="0"/>
    <xf numFmtId="0" fontId="64" fillId="2" borderId="0" applyNumberFormat="0" applyBorder="0" applyAlignment="0" applyProtection="0"/>
    <xf numFmtId="0" fontId="65" fillId="3" borderId="0" applyNumberFormat="0" applyBorder="0" applyAlignment="0" applyProtection="0"/>
    <xf numFmtId="0" fontId="67" fillId="5" borderId="4" applyNumberFormat="0" applyAlignment="0" applyProtection="0"/>
    <xf numFmtId="0" fontId="68" fillId="6" borderId="4" applyNumberFormat="0" applyAlignment="0" applyProtection="0"/>
    <xf numFmtId="0" fontId="69" fillId="0" borderId="6" applyNumberFormat="0" applyFill="0" applyAlignment="0" applyProtection="0"/>
    <xf numFmtId="0" fontId="70" fillId="7" borderId="7" applyNumberFormat="0" applyAlignment="0" applyProtection="0"/>
    <xf numFmtId="0" fontId="71" fillId="0" borderId="0" applyNumberFormat="0" applyFill="0" applyBorder="0" applyAlignment="0" applyProtection="0"/>
    <xf numFmtId="0" fontId="72" fillId="9" borderId="0" applyNumberFormat="0" applyBorder="0" applyAlignment="0" applyProtection="0"/>
    <xf numFmtId="0" fontId="2" fillId="10" borderId="0" applyNumberFormat="0" applyBorder="0" applyAlignment="0" applyProtection="0"/>
    <xf numFmtId="0" fontId="7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7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7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7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7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164" fontId="37" fillId="0" borderId="0" applyFont="0" applyFill="0" applyBorder="0" applyAlignment="0" applyProtection="0"/>
    <xf numFmtId="44" fontId="17" fillId="0" borderId="0" applyFont="0" applyFill="0" applyBorder="0" applyAlignment="0" applyProtection="0"/>
    <xf numFmtId="0" fontId="37" fillId="0" borderId="0"/>
    <xf numFmtId="0" fontId="37" fillId="0" borderId="0"/>
    <xf numFmtId="0" fontId="2" fillId="0" borderId="0"/>
    <xf numFmtId="0" fontId="2" fillId="0" borderId="0"/>
    <xf numFmtId="0" fontId="37" fillId="0" borderId="0"/>
    <xf numFmtId="0" fontId="2" fillId="0" borderId="0"/>
    <xf numFmtId="0" fontId="2"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3" fillId="0" borderId="0"/>
    <xf numFmtId="0" fontId="43" fillId="0" borderId="0"/>
    <xf numFmtId="0" fontId="77" fillId="36" borderId="0" applyNumberFormat="0" applyFont="0" applyBorder="0" applyAlignment="0" applyProtection="0">
      <alignment vertical="center"/>
    </xf>
    <xf numFmtId="0" fontId="39" fillId="0" borderId="0"/>
    <xf numFmtId="0" fontId="50" fillId="0" borderId="0"/>
    <xf numFmtId="43" fontId="17" fillId="0" borderId="0" applyFont="0" applyFill="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75" fillId="38" borderId="0" applyNumberFormat="0" applyBorder="0" applyAlignment="0" applyProtection="0"/>
    <xf numFmtId="0" fontId="50" fillId="38" borderId="0" applyNumberFormat="0" applyBorder="0" applyAlignment="0" applyProtection="0"/>
    <xf numFmtId="0" fontId="43" fillId="0" borderId="0"/>
    <xf numFmtId="0" fontId="75"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75" fillId="43" borderId="0" applyNumberFormat="0" applyBorder="0" applyAlignment="0" applyProtection="0"/>
    <xf numFmtId="0" fontId="50" fillId="38" borderId="0" applyNumberFormat="0" applyBorder="0" applyAlignment="0" applyProtection="0"/>
    <xf numFmtId="0" fontId="60" fillId="0" borderId="0"/>
    <xf numFmtId="0" fontId="50" fillId="39" borderId="0" applyNumberFormat="0" applyBorder="0" applyAlignment="0" applyProtection="0"/>
    <xf numFmtId="0" fontId="50" fillId="38" borderId="0" applyNumberFormat="0" applyBorder="0" applyAlignment="0" applyProtection="0"/>
    <xf numFmtId="0" fontId="37" fillId="0" borderId="0"/>
    <xf numFmtId="0" fontId="119" fillId="0" borderId="0"/>
    <xf numFmtId="164" fontId="37" fillId="0" borderId="0" applyFont="0" applyFill="0" applyBorder="0" applyAlignment="0" applyProtection="0"/>
    <xf numFmtId="0" fontId="50" fillId="38" borderId="0" applyNumberFormat="0" applyBorder="0" applyAlignment="0" applyProtection="0"/>
    <xf numFmtId="0" fontId="50" fillId="43" borderId="0" applyNumberFormat="0" applyBorder="0" applyAlignment="0" applyProtection="0"/>
    <xf numFmtId="0" fontId="50"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75" fillId="38" borderId="0" applyNumberFormat="0" applyBorder="0" applyAlignment="0" applyProtection="0"/>
    <xf numFmtId="0" fontId="50" fillId="41"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40" borderId="0" applyNumberFormat="0" applyBorder="0" applyAlignment="0" applyProtection="0"/>
    <xf numFmtId="0" fontId="43" fillId="0" borderId="0"/>
    <xf numFmtId="0" fontId="75" fillId="41" borderId="0" applyNumberFormat="0" applyBorder="0" applyAlignment="0" applyProtection="0"/>
    <xf numFmtId="0" fontId="75" fillId="40" borderId="0" applyNumberFormat="0" applyBorder="0" applyAlignment="0" applyProtection="0"/>
    <xf numFmtId="0" fontId="50" fillId="38" borderId="0" applyNumberFormat="0" applyBorder="0" applyAlignment="0" applyProtection="0"/>
    <xf numFmtId="0" fontId="75" fillId="42" borderId="0" applyNumberFormat="0" applyBorder="0" applyAlignment="0" applyProtection="0"/>
    <xf numFmtId="0" fontId="50"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39" fillId="0" borderId="0"/>
    <xf numFmtId="43" fontId="39" fillId="0" borderId="0" applyFont="0" applyFill="0" applyBorder="0" applyAlignment="0" applyProtection="0"/>
    <xf numFmtId="0" fontId="79" fillId="0" borderId="0"/>
    <xf numFmtId="4" fontId="79" fillId="0" borderId="0"/>
    <xf numFmtId="43" fontId="39" fillId="0" borderId="0" applyFont="0" applyFill="0" applyBorder="0" applyAlignment="0" applyProtection="0"/>
    <xf numFmtId="4" fontId="79" fillId="0" borderId="0"/>
    <xf numFmtId="168" fontId="39" fillId="0" borderId="0" applyFill="0" applyBorder="0" applyAlignment="0" applyProtection="0"/>
    <xf numFmtId="4" fontId="79" fillId="0" borderId="0"/>
    <xf numFmtId="44" fontId="39" fillId="0" borderId="0" applyFont="0" applyFill="0" applyBorder="0" applyAlignment="0" applyProtection="0"/>
    <xf numFmtId="0" fontId="81" fillId="0" borderId="0">
      <alignment horizontal="left" wrapText="1" indent="1"/>
    </xf>
    <xf numFmtId="0" fontId="50" fillId="0" borderId="0"/>
    <xf numFmtId="4" fontId="39" fillId="0" borderId="0"/>
    <xf numFmtId="4" fontId="39" fillId="0" borderId="0"/>
    <xf numFmtId="0" fontId="41" fillId="0" borderId="0"/>
    <xf numFmtId="4" fontId="39" fillId="0" borderId="0"/>
    <xf numFmtId="0" fontId="2" fillId="0" borderId="0"/>
    <xf numFmtId="4" fontId="50" fillId="0" borderId="0"/>
    <xf numFmtId="4" fontId="50" fillId="0" borderId="0"/>
    <xf numFmtId="4" fontId="79" fillId="0" borderId="0"/>
    <xf numFmtId="4" fontId="79" fillId="0" borderId="0"/>
    <xf numFmtId="4" fontId="79" fillId="0" borderId="0"/>
    <xf numFmtId="4" fontId="79" fillId="0" borderId="0"/>
    <xf numFmtId="4" fontId="39" fillId="0" borderId="0"/>
    <xf numFmtId="0" fontId="37" fillId="0" borderId="0"/>
    <xf numFmtId="0" fontId="41" fillId="0" borderId="0"/>
    <xf numFmtId="0" fontId="37" fillId="0" borderId="0">
      <alignment vertical="top"/>
    </xf>
    <xf numFmtId="4" fontId="82" fillId="0" borderId="0">
      <alignment horizontal="justify" vertical="justify"/>
    </xf>
    <xf numFmtId="0" fontId="76" fillId="0" borderId="0"/>
    <xf numFmtId="0" fontId="50" fillId="0" borderId="0"/>
    <xf numFmtId="0" fontId="80" fillId="37" borderId="0" applyNumberFormat="0" applyFont="0" applyBorder="0" applyAlignment="0" applyProtection="0"/>
    <xf numFmtId="0" fontId="41" fillId="0" borderId="0"/>
    <xf numFmtId="0" fontId="2" fillId="0" borderId="0"/>
    <xf numFmtId="0" fontId="83" fillId="0" borderId="0">
      <alignment horizontal="left" wrapText="1" indent="1"/>
    </xf>
    <xf numFmtId="0" fontId="37" fillId="0" borderId="0"/>
    <xf numFmtId="0" fontId="78" fillId="0" borderId="0"/>
    <xf numFmtId="0" fontId="37" fillId="0" borderId="0"/>
    <xf numFmtId="0" fontId="37" fillId="0" borderId="0"/>
    <xf numFmtId="0" fontId="51" fillId="0" borderId="0" applyNumberFormat="0" applyBorder="0" applyProtection="0"/>
    <xf numFmtId="0" fontId="84" fillId="0" borderId="0"/>
    <xf numFmtId="0" fontId="2" fillId="0" borderId="0"/>
    <xf numFmtId="171" fontId="37" fillId="0" borderId="0"/>
    <xf numFmtId="0" fontId="50" fillId="0" borderId="0"/>
    <xf numFmtId="0" fontId="37" fillId="0" borderId="0"/>
    <xf numFmtId="43" fontId="37" fillId="0" borderId="0" applyFont="0" applyFill="0" applyBorder="0" applyAlignment="0" applyProtection="0"/>
    <xf numFmtId="0" fontId="37" fillId="0" borderId="0"/>
    <xf numFmtId="0" fontId="50" fillId="0" borderId="0"/>
    <xf numFmtId="0" fontId="41" fillId="0" borderId="0"/>
    <xf numFmtId="0" fontId="85" fillId="0" borderId="0"/>
    <xf numFmtId="0" fontId="85" fillId="0" borderId="0"/>
    <xf numFmtId="0" fontId="37" fillId="0" borderId="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75" fillId="39" borderId="0" applyNumberFormat="0" applyBorder="0" applyAlignment="0" applyProtection="0"/>
    <xf numFmtId="44" fontId="17" fillId="0" borderId="0" applyFont="0" applyFill="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75"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75" fillId="38" borderId="0" applyNumberFormat="0" applyBorder="0" applyAlignment="0" applyProtection="0"/>
    <xf numFmtId="0" fontId="75" fillId="38" borderId="0" applyNumberFormat="0" applyBorder="0" applyAlignment="0" applyProtection="0"/>
    <xf numFmtId="0" fontId="119" fillId="0" borderId="0"/>
    <xf numFmtId="0" fontId="2" fillId="0" borderId="0"/>
    <xf numFmtId="0" fontId="50" fillId="42"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75"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75"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75" fillId="38" borderId="0" applyNumberFormat="0" applyBorder="0" applyAlignment="0" applyProtection="0"/>
    <xf numFmtId="0" fontId="75" fillId="38" borderId="0" applyNumberFormat="0" applyBorder="0" applyAlignment="0" applyProtection="0"/>
    <xf numFmtId="0" fontId="75" fillId="38" borderId="0" applyNumberFormat="0" applyBorder="0" applyAlignment="0" applyProtection="0"/>
    <xf numFmtId="0" fontId="75" fillId="38"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75"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75"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75"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75"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75"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75"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2" borderId="0" applyNumberFormat="0" applyBorder="0" applyAlignment="0" applyProtection="0"/>
    <xf numFmtId="0" fontId="75" fillId="42" borderId="0" applyNumberFormat="0" applyBorder="0" applyAlignment="0" applyProtection="0"/>
    <xf numFmtId="0" fontId="75" fillId="42" borderId="0" applyNumberFormat="0" applyBorder="0" applyAlignment="0" applyProtection="0"/>
    <xf numFmtId="0" fontId="75" fillId="42" borderId="0" applyNumberFormat="0" applyBorder="0" applyAlignment="0" applyProtection="0"/>
    <xf numFmtId="0" fontId="75"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75"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75"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75" fillId="42" borderId="0" applyNumberFormat="0" applyBorder="0" applyAlignment="0" applyProtection="0"/>
    <xf numFmtId="0" fontId="75" fillId="42" borderId="0" applyNumberFormat="0" applyBorder="0" applyAlignment="0" applyProtection="0"/>
    <xf numFmtId="0" fontId="75" fillId="42" borderId="0" applyNumberFormat="0" applyBorder="0" applyAlignment="0" applyProtection="0"/>
    <xf numFmtId="0" fontId="75" fillId="42"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75"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75"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3" fillId="38" borderId="0" applyNumberFormat="0" applyBorder="0" applyAlignment="0" applyProtection="0"/>
    <xf numFmtId="0" fontId="53" fillId="44" borderId="0" applyNumberFormat="0" applyBorder="0" applyAlignment="0" applyProtection="0"/>
    <xf numFmtId="0" fontId="53" fillId="39"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6" borderId="0" applyNumberFormat="0" applyBorder="0" applyAlignment="0" applyProtection="0"/>
    <xf numFmtId="0" fontId="53" fillId="41" borderId="0" applyNumberFormat="0" applyBorder="0" applyAlignment="0" applyProtection="0"/>
    <xf numFmtId="0" fontId="53" fillId="47" borderId="0" applyNumberFormat="0" applyBorder="0" applyAlignment="0" applyProtection="0"/>
    <xf numFmtId="0" fontId="53" fillId="42" borderId="0" applyNumberFormat="0" applyBorder="0" applyAlignment="0" applyProtection="0"/>
    <xf numFmtId="0" fontId="53" fillId="48" borderId="0" applyNumberFormat="0" applyBorder="0" applyAlignment="0" applyProtection="0"/>
    <xf numFmtId="0" fontId="53" fillId="43" borderId="0" applyNumberFormat="0" applyBorder="0" applyAlignment="0" applyProtection="0"/>
    <xf numFmtId="0" fontId="53" fillId="49"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38"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38" borderId="0" applyNumberFormat="0" applyBorder="0" applyAlignment="0" applyProtection="0"/>
    <xf numFmtId="0" fontId="50" fillId="105"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39"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39" borderId="0" applyNumberFormat="0" applyBorder="0" applyAlignment="0" applyProtection="0"/>
    <xf numFmtId="0" fontId="50" fillId="106" borderId="0" applyNumberFormat="0" applyBorder="0" applyAlignment="0" applyProtection="0"/>
    <xf numFmtId="0" fontId="50" fillId="53"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40"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40" borderId="0" applyNumberFormat="0" applyBorder="0" applyAlignment="0" applyProtection="0"/>
    <xf numFmtId="0" fontId="50" fillId="107" borderId="0" applyNumberFormat="0" applyBorder="0" applyAlignment="0" applyProtection="0"/>
    <xf numFmtId="0" fontId="50" fillId="55"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1"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1" borderId="0" applyNumberFormat="0" applyBorder="0" applyAlignment="0" applyProtection="0"/>
    <xf numFmtId="0" fontId="50" fillId="108" borderId="0" applyNumberFormat="0" applyBorder="0" applyAlignment="0" applyProtection="0"/>
    <xf numFmtId="0" fontId="50" fillId="57"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109"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43"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43" borderId="0" applyNumberFormat="0" applyBorder="0" applyAlignment="0" applyProtection="0"/>
    <xf numFmtId="0" fontId="50" fillId="110" borderId="0" applyNumberFormat="0" applyBorder="0" applyAlignment="0" applyProtection="0"/>
    <xf numFmtId="0" fontId="50" fillId="55" borderId="0" applyNumberFormat="0" applyBorder="0" applyAlignment="0" applyProtection="0"/>
    <xf numFmtId="0" fontId="75" fillId="50" borderId="0" applyNumberFormat="0" applyBorder="0" applyAlignment="0" applyProtection="0"/>
    <xf numFmtId="0" fontId="75" fillId="52" borderId="0" applyNumberFormat="0" applyBorder="0" applyAlignment="0" applyProtection="0"/>
    <xf numFmtId="0" fontId="75" fillId="59" borderId="0" applyNumberFormat="0" applyBorder="0" applyAlignment="0" applyProtection="0"/>
    <xf numFmtId="0" fontId="75" fillId="41" borderId="0" applyNumberFormat="0" applyBorder="0" applyAlignment="0" applyProtection="0"/>
    <xf numFmtId="0" fontId="75" fillId="50" borderId="0" applyNumberFormat="0" applyBorder="0" applyAlignment="0" applyProtection="0"/>
    <xf numFmtId="0" fontId="75" fillId="60" borderId="0" applyNumberFormat="0" applyBorder="0" applyAlignment="0" applyProtection="0"/>
    <xf numFmtId="0" fontId="50" fillId="50" borderId="0" applyNumberFormat="0" applyBorder="0" applyAlignment="0" applyProtection="0"/>
    <xf numFmtId="0" fontId="50" fillId="52" borderId="0" applyNumberFormat="0" applyBorder="0" applyAlignment="0" applyProtection="0"/>
    <xf numFmtId="0" fontId="50" fillId="59" borderId="0" applyNumberFormat="0" applyBorder="0" applyAlignment="0" applyProtection="0"/>
    <xf numFmtId="0" fontId="50" fillId="41" borderId="0" applyNumberFormat="0" applyBorder="0" applyAlignment="0" applyProtection="0"/>
    <xf numFmtId="0" fontId="50" fillId="50" borderId="0" applyNumberFormat="0" applyBorder="0" applyAlignment="0" applyProtection="0"/>
    <xf numFmtId="0" fontId="50" fillId="6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75"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75"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75"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75"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75"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75"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75"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75"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75"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50" borderId="0" applyNumberFormat="0" applyBorder="0" applyAlignment="0" applyProtection="0"/>
    <xf numFmtId="0" fontId="75" fillId="60" borderId="0" applyNumberFormat="0" applyBorder="0" applyAlignment="0" applyProtection="0"/>
    <xf numFmtId="0" fontId="75" fillId="60" borderId="0" applyNumberFormat="0" applyBorder="0" applyAlignment="0" applyProtection="0"/>
    <xf numFmtId="0" fontId="75" fillId="60" borderId="0" applyNumberFormat="0" applyBorder="0" applyAlignment="0" applyProtection="0"/>
    <xf numFmtId="0" fontId="75" fillId="60" borderId="0" applyNumberFormat="0" applyBorder="0" applyAlignment="0" applyProtection="0"/>
    <xf numFmtId="0" fontId="75"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75"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75"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75" fillId="60" borderId="0" applyNumberFormat="0" applyBorder="0" applyAlignment="0" applyProtection="0"/>
    <xf numFmtId="0" fontId="75" fillId="60" borderId="0" applyNumberFormat="0" applyBorder="0" applyAlignment="0" applyProtection="0"/>
    <xf numFmtId="0" fontId="75" fillId="60" borderId="0" applyNumberFormat="0" applyBorder="0" applyAlignment="0" applyProtection="0"/>
    <xf numFmtId="0" fontId="75" fillId="60" borderId="0" applyNumberFormat="0" applyBorder="0" applyAlignment="0" applyProtection="0"/>
    <xf numFmtId="0" fontId="75" fillId="60" borderId="0" applyNumberFormat="0" applyBorder="0" applyAlignment="0" applyProtection="0"/>
    <xf numFmtId="0" fontId="53" fillId="50" borderId="0" applyNumberFormat="0" applyBorder="0" applyAlignment="0" applyProtection="0"/>
    <xf numFmtId="0" fontId="53" fillId="61" borderId="0" applyNumberFormat="0" applyBorder="0" applyAlignment="0" applyProtection="0"/>
    <xf numFmtId="0" fontId="53" fillId="52" borderId="0" applyNumberFormat="0" applyBorder="0" applyAlignment="0" applyProtection="0"/>
    <xf numFmtId="0" fontId="53" fillId="62" borderId="0" applyNumberFormat="0" applyBorder="0" applyAlignment="0" applyProtection="0"/>
    <xf numFmtId="0" fontId="53" fillId="59" borderId="0" applyNumberFormat="0" applyBorder="0" applyAlignment="0" applyProtection="0"/>
    <xf numFmtId="0" fontId="53" fillId="63" borderId="0" applyNumberFormat="0" applyBorder="0" applyAlignment="0" applyProtection="0"/>
    <xf numFmtId="0" fontId="53" fillId="41" borderId="0" applyNumberFormat="0" applyBorder="0" applyAlignment="0" applyProtection="0"/>
    <xf numFmtId="0" fontId="53" fillId="47" borderId="0" applyNumberFormat="0" applyBorder="0" applyAlignment="0" applyProtection="0"/>
    <xf numFmtId="0" fontId="53" fillId="50" borderId="0" applyNumberFormat="0" applyBorder="0" applyAlignment="0" applyProtection="0"/>
    <xf numFmtId="0" fontId="53" fillId="61" borderId="0" applyNumberFormat="0" applyBorder="0" applyAlignment="0" applyProtection="0"/>
    <xf numFmtId="0" fontId="53" fillId="60" borderId="0" applyNumberFormat="0" applyBorder="0" applyAlignment="0" applyProtection="0"/>
    <xf numFmtId="0" fontId="53" fillId="64" borderId="0" applyNumberFormat="0" applyBorder="0" applyAlignment="0" applyProtection="0"/>
    <xf numFmtId="0" fontId="50" fillId="50" borderId="0" applyNumberFormat="0" applyBorder="0" applyAlignment="0" applyProtection="0"/>
    <xf numFmtId="0" fontId="2" fillId="11" borderId="0" applyNumberFormat="0" applyBorder="0" applyAlignment="0" applyProtection="0"/>
    <xf numFmtId="0" fontId="2" fillId="42" borderId="0" applyNumberFormat="0" applyBorder="0" applyAlignment="0" applyProtection="0"/>
    <xf numFmtId="0" fontId="50" fillId="42" borderId="0" applyNumberFormat="0" applyBorder="0" applyAlignment="0" applyProtection="0"/>
    <xf numFmtId="0" fontId="50" fillId="111" borderId="0" applyNumberFormat="0" applyBorder="0" applyAlignment="0" applyProtection="0"/>
    <xf numFmtId="0" fontId="50" fillId="58"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112" borderId="0" applyNumberFormat="0" applyBorder="0" applyAlignment="0" applyProtection="0"/>
    <xf numFmtId="0" fontId="50" fillId="65" borderId="0" applyNumberFormat="0" applyBorder="0" applyAlignment="0" applyProtection="0"/>
    <xf numFmtId="0" fontId="50" fillId="65" borderId="0" applyNumberFormat="0" applyBorder="0" applyAlignment="0" applyProtection="0"/>
    <xf numFmtId="0" fontId="50" fillId="59" borderId="0" applyNumberFormat="0" applyBorder="0" applyAlignment="0" applyProtection="0"/>
    <xf numFmtId="0" fontId="50" fillId="65" borderId="0" applyNumberFormat="0" applyBorder="0" applyAlignment="0" applyProtection="0"/>
    <xf numFmtId="0" fontId="50" fillId="65" borderId="0" applyNumberFormat="0" applyBorder="0" applyAlignment="0" applyProtection="0"/>
    <xf numFmtId="0" fontId="50" fillId="59" borderId="0" applyNumberFormat="0" applyBorder="0" applyAlignment="0" applyProtection="0"/>
    <xf numFmtId="0" fontId="50" fillId="113" borderId="0" applyNumberFormat="0" applyBorder="0" applyAlignment="0" applyProtection="0"/>
    <xf numFmtId="0" fontId="50" fillId="66"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41"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41" borderId="0" applyNumberFormat="0" applyBorder="0" applyAlignment="0" applyProtection="0"/>
    <xf numFmtId="0" fontId="50" fillId="114" borderId="0" applyNumberFormat="0" applyBorder="0" applyAlignment="0" applyProtection="0"/>
    <xf numFmtId="0" fontId="50" fillId="37"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42"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115" borderId="0" applyNumberFormat="0" applyBorder="0" applyAlignment="0" applyProtection="0"/>
    <xf numFmtId="0" fontId="50" fillId="58"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60"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60" borderId="0" applyNumberFormat="0" applyBorder="0" applyAlignment="0" applyProtection="0"/>
    <xf numFmtId="0" fontId="50" fillId="116" borderId="0" applyNumberFormat="0" applyBorder="0" applyAlignment="0" applyProtection="0"/>
    <xf numFmtId="0" fontId="50" fillId="55"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50" borderId="0" applyNumberFormat="0" applyBorder="0" applyAlignment="0" applyProtection="0"/>
    <xf numFmtId="0" fontId="120" fillId="68" borderId="0" applyNumberFormat="0" applyBorder="0" applyAlignment="0" applyProtection="0"/>
    <xf numFmtId="0" fontId="120" fillId="52" borderId="0" applyNumberFormat="0" applyBorder="0" applyAlignment="0" applyProtection="0"/>
    <xf numFmtId="0" fontId="120" fillId="59" borderId="0" applyNumberFormat="0" applyBorder="0" applyAlignment="0" applyProtection="0"/>
    <xf numFmtId="0" fontId="120" fillId="69" borderId="0" applyNumberFormat="0" applyBorder="0" applyAlignment="0" applyProtection="0"/>
    <xf numFmtId="0" fontId="120" fillId="70" borderId="0" applyNumberFormat="0" applyBorder="0" applyAlignment="0" applyProtection="0"/>
    <xf numFmtId="0" fontId="120" fillId="71" borderId="0" applyNumberFormat="0" applyBorder="0" applyAlignment="0" applyProtection="0"/>
    <xf numFmtId="0" fontId="105" fillId="68" borderId="0" applyNumberFormat="0" applyBorder="0" applyAlignment="0" applyProtection="0"/>
    <xf numFmtId="0" fontId="105" fillId="52" borderId="0" applyNumberFormat="0" applyBorder="0" applyAlignment="0" applyProtection="0"/>
    <xf numFmtId="0" fontId="105" fillId="59" borderId="0" applyNumberFormat="0" applyBorder="0" applyAlignment="0" applyProtection="0"/>
    <xf numFmtId="0" fontId="105" fillId="69" borderId="0" applyNumberFormat="0" applyBorder="0" applyAlignment="0" applyProtection="0"/>
    <xf numFmtId="0" fontId="105" fillId="70" borderId="0" applyNumberFormat="0" applyBorder="0" applyAlignment="0" applyProtection="0"/>
    <xf numFmtId="0" fontId="105" fillId="71" borderId="0" applyNumberFormat="0" applyBorder="0" applyAlignment="0" applyProtection="0"/>
    <xf numFmtId="0" fontId="121" fillId="68" borderId="0" applyNumberFormat="0" applyBorder="0" applyAlignment="0" applyProtection="0"/>
    <xf numFmtId="0" fontId="121" fillId="68" borderId="0" applyNumberFormat="0" applyBorder="0" applyAlignment="0" applyProtection="0"/>
    <xf numFmtId="0" fontId="121" fillId="68" borderId="0" applyNumberFormat="0" applyBorder="0" applyAlignment="0" applyProtection="0"/>
    <xf numFmtId="0" fontId="121" fillId="68" borderId="0" applyNumberFormat="0" applyBorder="0" applyAlignment="0" applyProtection="0"/>
    <xf numFmtId="0" fontId="121" fillId="68" borderId="0" applyNumberFormat="0" applyBorder="0" applyAlignment="0" applyProtection="0"/>
    <xf numFmtId="0" fontId="2" fillId="12" borderId="0" applyNumberFormat="0" applyBorder="0" applyAlignment="0" applyProtection="0"/>
    <xf numFmtId="0" fontId="105" fillId="68" borderId="0" applyNumberFormat="0" applyBorder="0" applyAlignment="0" applyProtection="0"/>
    <xf numFmtId="0" fontId="121"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21"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05" fillId="68" borderId="0" applyNumberFormat="0" applyBorder="0" applyAlignment="0" applyProtection="0"/>
    <xf numFmtId="0" fontId="121" fillId="68" borderId="0" applyNumberFormat="0" applyBorder="0" applyAlignment="0" applyProtection="0"/>
    <xf numFmtId="0" fontId="121" fillId="68" borderId="0" applyNumberFormat="0" applyBorder="0" applyAlignment="0" applyProtection="0"/>
    <xf numFmtId="0" fontId="121" fillId="68" borderId="0" applyNumberFormat="0" applyBorder="0" applyAlignment="0" applyProtection="0"/>
    <xf numFmtId="0" fontId="121" fillId="68" borderId="0" applyNumberFormat="0" applyBorder="0" applyAlignment="0" applyProtection="0"/>
    <xf numFmtId="0" fontId="121" fillId="68"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2" fillId="16" borderId="0" applyNumberFormat="0" applyBorder="0" applyAlignment="0" applyProtection="0"/>
    <xf numFmtId="0" fontId="105" fillId="52" borderId="0" applyNumberFormat="0" applyBorder="0" applyAlignment="0" applyProtection="0"/>
    <xf numFmtId="0" fontId="121"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21"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59" borderId="0" applyNumberFormat="0" applyBorder="0" applyAlignment="0" applyProtection="0"/>
    <xf numFmtId="0" fontId="121" fillId="59" borderId="0" applyNumberFormat="0" applyBorder="0" applyAlignment="0" applyProtection="0"/>
    <xf numFmtId="0" fontId="121" fillId="59" borderId="0" applyNumberFormat="0" applyBorder="0" applyAlignment="0" applyProtection="0"/>
    <xf numFmtId="0" fontId="121" fillId="59" borderId="0" applyNumberFormat="0" applyBorder="0" applyAlignment="0" applyProtection="0"/>
    <xf numFmtId="0" fontId="121" fillId="59" borderId="0" applyNumberFormat="0" applyBorder="0" applyAlignment="0" applyProtection="0"/>
    <xf numFmtId="0" fontId="2" fillId="20" borderId="0" applyNumberFormat="0" applyBorder="0" applyAlignment="0" applyProtection="0"/>
    <xf numFmtId="0" fontId="105" fillId="59" borderId="0" applyNumberFormat="0" applyBorder="0" applyAlignment="0" applyProtection="0"/>
    <xf numFmtId="0" fontId="121"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21"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05" fillId="59" borderId="0" applyNumberFormat="0" applyBorder="0" applyAlignment="0" applyProtection="0"/>
    <xf numFmtId="0" fontId="121" fillId="59" borderId="0" applyNumberFormat="0" applyBorder="0" applyAlignment="0" applyProtection="0"/>
    <xf numFmtId="0" fontId="121" fillId="59" borderId="0" applyNumberFormat="0" applyBorder="0" applyAlignment="0" applyProtection="0"/>
    <xf numFmtId="0" fontId="121" fillId="59" borderId="0" applyNumberFormat="0" applyBorder="0" applyAlignment="0" applyProtection="0"/>
    <xf numFmtId="0" fontId="121" fillId="59" borderId="0" applyNumberFormat="0" applyBorder="0" applyAlignment="0" applyProtection="0"/>
    <xf numFmtId="0" fontId="121" fillId="5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2" fillId="24" borderId="0" applyNumberFormat="0" applyBorder="0" applyAlignment="0" applyProtection="0"/>
    <xf numFmtId="0" fontId="105" fillId="69" borderId="0" applyNumberFormat="0" applyBorder="0" applyAlignment="0" applyProtection="0"/>
    <xf numFmtId="0" fontId="121"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21"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2" fillId="28" borderId="0" applyNumberFormat="0" applyBorder="0" applyAlignment="0" applyProtection="0"/>
    <xf numFmtId="0" fontId="105" fillId="70" borderId="0" applyNumberFormat="0" applyBorder="0" applyAlignment="0" applyProtection="0"/>
    <xf numFmtId="0" fontId="121"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21"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1" borderId="0" applyNumberFormat="0" applyBorder="0" applyAlignment="0" applyProtection="0"/>
    <xf numFmtId="0" fontId="121" fillId="71" borderId="0" applyNumberFormat="0" applyBorder="0" applyAlignment="0" applyProtection="0"/>
    <xf numFmtId="0" fontId="121" fillId="71" borderId="0" applyNumberFormat="0" applyBorder="0" applyAlignment="0" applyProtection="0"/>
    <xf numFmtId="0" fontId="121" fillId="71" borderId="0" applyNumberFormat="0" applyBorder="0" applyAlignment="0" applyProtection="0"/>
    <xf numFmtId="0" fontId="121" fillId="71" borderId="0" applyNumberFormat="0" applyBorder="0" applyAlignment="0" applyProtection="0"/>
    <xf numFmtId="0" fontId="2" fillId="32" borderId="0" applyNumberFormat="0" applyBorder="0" applyAlignment="0" applyProtection="0"/>
    <xf numFmtId="0" fontId="105" fillId="71" borderId="0" applyNumberFormat="0" applyBorder="0" applyAlignment="0" applyProtection="0"/>
    <xf numFmtId="0" fontId="121"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21"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21" fillId="71" borderId="0" applyNumberFormat="0" applyBorder="0" applyAlignment="0" applyProtection="0"/>
    <xf numFmtId="0" fontId="121" fillId="71" borderId="0" applyNumberFormat="0" applyBorder="0" applyAlignment="0" applyProtection="0"/>
    <xf numFmtId="0" fontId="121" fillId="71" borderId="0" applyNumberFormat="0" applyBorder="0" applyAlignment="0" applyProtection="0"/>
    <xf numFmtId="0" fontId="121" fillId="71" borderId="0" applyNumberFormat="0" applyBorder="0" applyAlignment="0" applyProtection="0"/>
    <xf numFmtId="0" fontId="121" fillId="71" borderId="0" applyNumberFormat="0" applyBorder="0" applyAlignment="0" applyProtection="0"/>
    <xf numFmtId="0" fontId="95" fillId="68" borderId="0" applyNumberFormat="0" applyBorder="0" applyAlignment="0" applyProtection="0"/>
    <xf numFmtId="0" fontId="95" fillId="72" borderId="0" applyNumberFormat="0" applyBorder="0" applyAlignment="0" applyProtection="0"/>
    <xf numFmtId="0" fontId="95" fillId="52" borderId="0" applyNumberFormat="0" applyBorder="0" applyAlignment="0" applyProtection="0"/>
    <xf numFmtId="0" fontId="95" fillId="62" borderId="0" applyNumberFormat="0" applyBorder="0" applyAlignment="0" applyProtection="0"/>
    <xf numFmtId="0" fontId="95" fillId="59" borderId="0" applyNumberFormat="0" applyBorder="0" applyAlignment="0" applyProtection="0"/>
    <xf numFmtId="0" fontId="95" fillId="63" borderId="0" applyNumberFormat="0" applyBorder="0" applyAlignment="0" applyProtection="0"/>
    <xf numFmtId="0" fontId="95" fillId="69" borderId="0" applyNumberFormat="0" applyBorder="0" applyAlignment="0" applyProtection="0"/>
    <xf numFmtId="0" fontId="95" fillId="73" borderId="0" applyNumberFormat="0" applyBorder="0" applyAlignment="0" applyProtection="0"/>
    <xf numFmtId="0" fontId="95" fillId="70" borderId="0" applyNumberFormat="0" applyBorder="0" applyAlignment="0" applyProtection="0"/>
    <xf numFmtId="0" fontId="95" fillId="74" borderId="0" applyNumberFormat="0" applyBorder="0" applyAlignment="0" applyProtection="0"/>
    <xf numFmtId="0" fontId="95" fillId="71" borderId="0" applyNumberFormat="0" applyBorder="0" applyAlignment="0" applyProtection="0"/>
    <xf numFmtId="0" fontId="95" fillId="75" borderId="0" applyNumberFormat="0" applyBorder="0" applyAlignment="0" applyProtection="0"/>
    <xf numFmtId="0" fontId="105" fillId="68" borderId="0" applyNumberFormat="0" applyBorder="0" applyAlignment="0" applyProtection="0"/>
    <xf numFmtId="0" fontId="105" fillId="117" borderId="0" applyNumberFormat="0" applyBorder="0" applyAlignment="0" applyProtection="0"/>
    <xf numFmtId="0" fontId="105" fillId="58" borderId="0" applyNumberFormat="0" applyBorder="0" applyAlignment="0" applyProtection="0"/>
    <xf numFmtId="0" fontId="105" fillId="52" borderId="0" applyNumberFormat="0" applyBorder="0" applyAlignment="0" applyProtection="0"/>
    <xf numFmtId="0" fontId="105" fillId="118" borderId="0" applyNumberFormat="0" applyBorder="0" applyAlignment="0" applyProtection="0"/>
    <xf numFmtId="0" fontId="105" fillId="36" borderId="0" applyNumberFormat="0" applyBorder="0" applyAlignment="0" applyProtection="0"/>
    <xf numFmtId="0" fontId="105" fillId="59" borderId="0" applyNumberFormat="0" applyBorder="0" applyAlignment="0" applyProtection="0"/>
    <xf numFmtId="0" fontId="105" fillId="119" borderId="0" applyNumberFormat="0" applyBorder="0" applyAlignment="0" applyProtection="0"/>
    <xf numFmtId="0" fontId="105" fillId="67" borderId="0" applyNumberFormat="0" applyBorder="0" applyAlignment="0" applyProtection="0"/>
    <xf numFmtId="0" fontId="105" fillId="69" borderId="0" applyNumberFormat="0" applyBorder="0" applyAlignment="0" applyProtection="0"/>
    <xf numFmtId="0" fontId="105" fillId="120" borderId="0" applyNumberFormat="0" applyBorder="0" applyAlignment="0" applyProtection="0"/>
    <xf numFmtId="0" fontId="105" fillId="37" borderId="0" applyNumberFormat="0" applyBorder="0" applyAlignment="0" applyProtection="0"/>
    <xf numFmtId="0" fontId="105" fillId="70" borderId="0" applyNumberFormat="0" applyBorder="0" applyAlignment="0" applyProtection="0"/>
    <xf numFmtId="0" fontId="105" fillId="121" borderId="0" applyNumberFormat="0" applyBorder="0" applyAlignment="0" applyProtection="0"/>
    <xf numFmtId="0" fontId="105" fillId="58" borderId="0" applyNumberFormat="0" applyBorder="0" applyAlignment="0" applyProtection="0"/>
    <xf numFmtId="0" fontId="105" fillId="71" borderId="0" applyNumberFormat="0" applyBorder="0" applyAlignment="0" applyProtection="0"/>
    <xf numFmtId="0" fontId="105" fillId="122" borderId="0" applyNumberFormat="0" applyBorder="0" applyAlignment="0" applyProtection="0"/>
    <xf numFmtId="0" fontId="105" fillId="53" borderId="0" applyNumberFormat="0" applyBorder="0" applyAlignment="0" applyProtection="0"/>
    <xf numFmtId="0" fontId="12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22" fillId="0" borderId="0"/>
    <xf numFmtId="0" fontId="12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23" fillId="0" borderId="0"/>
    <xf numFmtId="0" fontId="50" fillId="77" borderId="0" applyNumberFormat="0" applyBorder="0" applyAlignment="0" applyProtection="0"/>
    <xf numFmtId="0" fontId="50" fillId="78" borderId="0" applyNumberFormat="0" applyBorder="0" applyAlignment="0" applyProtection="0"/>
    <xf numFmtId="0" fontId="105" fillId="79" borderId="0" applyNumberFormat="0" applyBorder="0" applyAlignment="0" applyProtection="0"/>
    <xf numFmtId="0" fontId="121" fillId="76" borderId="0" applyNumberFormat="0" applyBorder="0" applyAlignment="0" applyProtection="0"/>
    <xf numFmtId="0" fontId="121" fillId="76" borderId="0" applyNumberFormat="0" applyBorder="0" applyAlignment="0" applyProtection="0"/>
    <xf numFmtId="0" fontId="121" fillId="76" borderId="0" applyNumberFormat="0" applyBorder="0" applyAlignment="0" applyProtection="0"/>
    <xf numFmtId="0" fontId="121" fillId="76" borderId="0" applyNumberFormat="0" applyBorder="0" applyAlignment="0" applyProtection="0"/>
    <xf numFmtId="0" fontId="121" fillId="76" borderId="0" applyNumberFormat="0" applyBorder="0" applyAlignment="0" applyProtection="0"/>
    <xf numFmtId="0" fontId="105" fillId="76" borderId="0" applyNumberFormat="0" applyBorder="0" applyAlignment="0" applyProtection="0"/>
    <xf numFmtId="0" fontId="121"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21"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05" fillId="76" borderId="0" applyNumberFormat="0" applyBorder="0" applyAlignment="0" applyProtection="0"/>
    <xf numFmtId="0" fontId="121" fillId="76" borderId="0" applyNumberFormat="0" applyBorder="0" applyAlignment="0" applyProtection="0"/>
    <xf numFmtId="0" fontId="121" fillId="76" borderId="0" applyNumberFormat="0" applyBorder="0" applyAlignment="0" applyProtection="0"/>
    <xf numFmtId="0" fontId="121" fillId="76" borderId="0" applyNumberFormat="0" applyBorder="0" applyAlignment="0" applyProtection="0"/>
    <xf numFmtId="0" fontId="121" fillId="76" borderId="0" applyNumberFormat="0" applyBorder="0" applyAlignment="0" applyProtection="0"/>
    <xf numFmtId="0" fontId="121" fillId="76" borderId="0" applyNumberFormat="0" applyBorder="0" applyAlignment="0" applyProtection="0"/>
    <xf numFmtId="0" fontId="50" fillId="81" borderId="0" applyNumberFormat="0" applyBorder="0" applyAlignment="0" applyProtection="0"/>
    <xf numFmtId="0" fontId="50" fillId="82" borderId="0" applyNumberFormat="0" applyBorder="0" applyAlignment="0" applyProtection="0"/>
    <xf numFmtId="0" fontId="105" fillId="82" borderId="0" applyNumberFormat="0" applyBorder="0" applyAlignment="0" applyProtection="0"/>
    <xf numFmtId="0" fontId="121" fillId="80" borderId="0" applyNumberFormat="0" applyBorder="0" applyAlignment="0" applyProtection="0"/>
    <xf numFmtId="0" fontId="121" fillId="80" borderId="0" applyNumberFormat="0" applyBorder="0" applyAlignment="0" applyProtection="0"/>
    <xf numFmtId="0" fontId="121" fillId="80" borderId="0" applyNumberFormat="0" applyBorder="0" applyAlignment="0" applyProtection="0"/>
    <xf numFmtId="0" fontId="121" fillId="80" borderId="0" applyNumberFormat="0" applyBorder="0" applyAlignment="0" applyProtection="0"/>
    <xf numFmtId="0" fontId="121" fillId="80" borderId="0" applyNumberFormat="0" applyBorder="0" applyAlignment="0" applyProtection="0"/>
    <xf numFmtId="0" fontId="105" fillId="80" borderId="0" applyNumberFormat="0" applyBorder="0" applyAlignment="0" applyProtection="0"/>
    <xf numFmtId="0" fontId="121"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21"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05" fillId="80" borderId="0" applyNumberFormat="0" applyBorder="0" applyAlignment="0" applyProtection="0"/>
    <xf numFmtId="0" fontId="121" fillId="80" borderId="0" applyNumberFormat="0" applyBorder="0" applyAlignment="0" applyProtection="0"/>
    <xf numFmtId="0" fontId="121" fillId="80" borderId="0" applyNumberFormat="0" applyBorder="0" applyAlignment="0" applyProtection="0"/>
    <xf numFmtId="0" fontId="121" fillId="80" borderId="0" applyNumberFormat="0" applyBorder="0" applyAlignment="0" applyProtection="0"/>
    <xf numFmtId="0" fontId="121" fillId="80" borderId="0" applyNumberFormat="0" applyBorder="0" applyAlignment="0" applyProtection="0"/>
    <xf numFmtId="0" fontId="121" fillId="80" borderId="0" applyNumberFormat="0" applyBorder="0" applyAlignment="0" applyProtection="0"/>
    <xf numFmtId="0" fontId="50" fillId="84" borderId="0" applyNumberFormat="0" applyBorder="0" applyAlignment="0" applyProtection="0"/>
    <xf numFmtId="0" fontId="50" fillId="85" borderId="0" applyNumberFormat="0" applyBorder="0" applyAlignment="0" applyProtection="0"/>
    <xf numFmtId="0" fontId="105" fillId="85" borderId="0" applyNumberFormat="0" applyBorder="0" applyAlignment="0" applyProtection="0"/>
    <xf numFmtId="0" fontId="121" fillId="83" borderId="0" applyNumberFormat="0" applyBorder="0" applyAlignment="0" applyProtection="0"/>
    <xf numFmtId="0" fontId="121" fillId="83" borderId="0" applyNumberFormat="0" applyBorder="0" applyAlignment="0" applyProtection="0"/>
    <xf numFmtId="0" fontId="121" fillId="83" borderId="0" applyNumberFormat="0" applyBorder="0" applyAlignment="0" applyProtection="0"/>
    <xf numFmtId="0" fontId="121" fillId="83" borderId="0" applyNumberFormat="0" applyBorder="0" applyAlignment="0" applyProtection="0"/>
    <xf numFmtId="0" fontId="121" fillId="83" borderId="0" applyNumberFormat="0" applyBorder="0" applyAlignment="0" applyProtection="0"/>
    <xf numFmtId="0" fontId="105" fillId="83" borderId="0" applyNumberFormat="0" applyBorder="0" applyAlignment="0" applyProtection="0"/>
    <xf numFmtId="0" fontId="121"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21"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05" fillId="83" borderId="0" applyNumberFormat="0" applyBorder="0" applyAlignment="0" applyProtection="0"/>
    <xf numFmtId="0" fontId="121" fillId="83" borderId="0" applyNumberFormat="0" applyBorder="0" applyAlignment="0" applyProtection="0"/>
    <xf numFmtId="0" fontId="121" fillId="83" borderId="0" applyNumberFormat="0" applyBorder="0" applyAlignment="0" applyProtection="0"/>
    <xf numFmtId="0" fontId="121" fillId="83" borderId="0" applyNumberFormat="0" applyBorder="0" applyAlignment="0" applyProtection="0"/>
    <xf numFmtId="0" fontId="121" fillId="83" borderId="0" applyNumberFormat="0" applyBorder="0" applyAlignment="0" applyProtection="0"/>
    <xf numFmtId="0" fontId="121" fillId="83" borderId="0" applyNumberFormat="0" applyBorder="0" applyAlignment="0" applyProtection="0"/>
    <xf numFmtId="0" fontId="50" fillId="77" borderId="0" applyNumberFormat="0" applyBorder="0" applyAlignment="0" applyProtection="0"/>
    <xf numFmtId="0" fontId="50" fillId="78" borderId="0" applyNumberFormat="0" applyBorder="0" applyAlignment="0" applyProtection="0"/>
    <xf numFmtId="0" fontId="105" fillId="78"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05" fillId="69" borderId="0" applyNumberFormat="0" applyBorder="0" applyAlignment="0" applyProtection="0"/>
    <xf numFmtId="0" fontId="121"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21"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50" fillId="86" borderId="0" applyNumberFormat="0" applyBorder="0" applyAlignment="0" applyProtection="0"/>
    <xf numFmtId="0" fontId="50" fillId="87" borderId="0" applyNumberFormat="0" applyBorder="0" applyAlignment="0" applyProtection="0"/>
    <xf numFmtId="0" fontId="105" fillId="79"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05" fillId="70" borderId="0" applyNumberFormat="0" applyBorder="0" applyAlignment="0" applyProtection="0"/>
    <xf numFmtId="0" fontId="121"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21"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121" fillId="70" borderId="0" applyNumberFormat="0" applyBorder="0" applyAlignment="0" applyProtection="0"/>
    <xf numFmtId="0" fontId="50" fillId="81" borderId="0" applyNumberFormat="0" applyBorder="0" applyAlignment="0" applyProtection="0"/>
    <xf numFmtId="0" fontId="50" fillId="81" borderId="0" applyNumberFormat="0" applyBorder="0" applyAlignment="0" applyProtection="0"/>
    <xf numFmtId="0" fontId="105" fillId="81" borderId="0" applyNumberFormat="0" applyBorder="0" applyAlignment="0" applyProtection="0"/>
    <xf numFmtId="0" fontId="121" fillId="88" borderId="0" applyNumberFormat="0" applyBorder="0" applyAlignment="0" applyProtection="0"/>
    <xf numFmtId="0" fontId="121" fillId="88" borderId="0" applyNumberFormat="0" applyBorder="0" applyAlignment="0" applyProtection="0"/>
    <xf numFmtId="0" fontId="121" fillId="88" borderId="0" applyNumberFormat="0" applyBorder="0" applyAlignment="0" applyProtection="0"/>
    <xf numFmtId="0" fontId="121" fillId="88" borderId="0" applyNumberFormat="0" applyBorder="0" applyAlignment="0" applyProtection="0"/>
    <xf numFmtId="0" fontId="121" fillId="88" borderId="0" applyNumberFormat="0" applyBorder="0" applyAlignment="0" applyProtection="0"/>
    <xf numFmtId="0" fontId="105" fillId="88" borderId="0" applyNumberFormat="0" applyBorder="0" applyAlignment="0" applyProtection="0"/>
    <xf numFmtId="0" fontId="121"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21"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05" fillId="88" borderId="0" applyNumberFormat="0" applyBorder="0" applyAlignment="0" applyProtection="0"/>
    <xf numFmtId="0" fontId="121" fillId="88" borderId="0" applyNumberFormat="0" applyBorder="0" applyAlignment="0" applyProtection="0"/>
    <xf numFmtId="0" fontId="121" fillId="88" borderId="0" applyNumberFormat="0" applyBorder="0" applyAlignment="0" applyProtection="0"/>
    <xf numFmtId="0" fontId="121" fillId="88" borderId="0" applyNumberFormat="0" applyBorder="0" applyAlignment="0" applyProtection="0"/>
    <xf numFmtId="0" fontId="121" fillId="88" borderId="0" applyNumberFormat="0" applyBorder="0" applyAlignment="0" applyProtection="0"/>
    <xf numFmtId="0" fontId="121" fillId="88" borderId="0" applyNumberFormat="0" applyBorder="0" applyAlignment="0" applyProtection="0"/>
    <xf numFmtId="0" fontId="95" fillId="76" borderId="0" applyNumberFormat="0" applyBorder="0" applyAlignment="0" applyProtection="0"/>
    <xf numFmtId="0" fontId="95" fillId="89" borderId="0" applyNumberFormat="0" applyBorder="0" applyAlignment="0" applyProtection="0"/>
    <xf numFmtId="0" fontId="95" fillId="80" borderId="0" applyNumberFormat="0" applyBorder="0" applyAlignment="0" applyProtection="0"/>
    <xf numFmtId="0" fontId="95" fillId="90" borderId="0" applyNumberFormat="0" applyBorder="0" applyAlignment="0" applyProtection="0"/>
    <xf numFmtId="0" fontId="95" fillId="83" borderId="0" applyNumberFormat="0" applyBorder="0" applyAlignment="0" applyProtection="0"/>
    <xf numFmtId="0" fontId="95" fillId="91" borderId="0" applyNumberFormat="0" applyBorder="0" applyAlignment="0" applyProtection="0"/>
    <xf numFmtId="0" fontId="95" fillId="69" borderId="0" applyNumberFormat="0" applyBorder="0" applyAlignment="0" applyProtection="0"/>
    <xf numFmtId="0" fontId="95" fillId="73" borderId="0" applyNumberFormat="0" applyBorder="0" applyAlignment="0" applyProtection="0"/>
    <xf numFmtId="0" fontId="95" fillId="70" borderId="0" applyNumberFormat="0" applyBorder="0" applyAlignment="0" applyProtection="0"/>
    <xf numFmtId="0" fontId="95" fillId="74" borderId="0" applyNumberFormat="0" applyBorder="0" applyAlignment="0" applyProtection="0"/>
    <xf numFmtId="0" fontId="95" fillId="88" borderId="0" applyNumberFormat="0" applyBorder="0" applyAlignment="0" applyProtection="0"/>
    <xf numFmtId="0" fontId="95" fillId="92" borderId="0" applyNumberFormat="0" applyBorder="0" applyAlignment="0" applyProtection="0"/>
    <xf numFmtId="0" fontId="96" fillId="93" borderId="14" applyNumberFormat="0" applyAlignment="0" applyProtection="0"/>
    <xf numFmtId="0" fontId="96" fillId="94" borderId="14" applyNumberFormat="0" applyAlignment="0" applyProtection="0"/>
    <xf numFmtId="0" fontId="86" fillId="0" borderId="0" applyNumberFormat="0" applyFill="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108" fillId="39" borderId="0" applyNumberFormat="0" applyBorder="0" applyAlignment="0" applyProtection="0"/>
    <xf numFmtId="0" fontId="124"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24"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97" fillId="93" borderId="15" applyNumberFormat="0" applyAlignment="0" applyProtection="0"/>
    <xf numFmtId="0" fontId="125" fillId="94" borderId="15" applyNumberFormat="0" applyAlignment="0" applyProtection="0"/>
    <xf numFmtId="0" fontId="153" fillId="0" borderId="0" applyNumberFormat="0" applyFill="0" applyBorder="0" applyAlignment="0" applyProtection="0">
      <alignment vertical="top"/>
      <protection locked="0"/>
    </xf>
    <xf numFmtId="0" fontId="37" fillId="55" borderId="8" applyNumberFormat="0" applyFont="0" applyAlignment="0" applyProtection="0"/>
    <xf numFmtId="0" fontId="41" fillId="54" borderId="16" applyNumberFormat="0" applyFont="0" applyAlignment="0" applyProtection="0"/>
    <xf numFmtId="0" fontId="37" fillId="54" borderId="16" applyNumberFormat="0" applyFont="0" applyAlignment="0" applyProtection="0"/>
    <xf numFmtId="0" fontId="50" fillId="54" borderId="16" applyNumberFormat="0" applyFont="0" applyAlignment="0" applyProtection="0"/>
    <xf numFmtId="0" fontId="41"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50" fillId="54" borderId="16"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174" fontId="126" fillId="0" borderId="11" applyAlignment="0" applyProtection="0"/>
    <xf numFmtId="180" fontId="127" fillId="0" borderId="0" applyFill="0" applyBorder="0" applyAlignment="0"/>
    <xf numFmtId="181" fontId="127" fillId="0" borderId="0" applyFill="0" applyBorder="0" applyAlignment="0"/>
    <xf numFmtId="182" fontId="127" fillId="0" borderId="0" applyFill="0" applyBorder="0" applyAlignment="0"/>
    <xf numFmtId="183" fontId="127" fillId="0" borderId="0" applyFill="0" applyBorder="0" applyAlignment="0"/>
    <xf numFmtId="184" fontId="127" fillId="0" borderId="0" applyFill="0" applyBorder="0" applyAlignment="0"/>
    <xf numFmtId="180" fontId="127" fillId="0" borderId="0" applyFill="0" applyBorder="0" applyAlignment="0"/>
    <xf numFmtId="185" fontId="127" fillId="0" borderId="0" applyFill="0" applyBorder="0" applyAlignment="0"/>
    <xf numFmtId="181" fontId="127" fillId="0" borderId="0" applyFill="0" applyBorder="0" applyAlignment="0"/>
    <xf numFmtId="0" fontId="107" fillId="93" borderId="15" applyNumberFormat="0" applyAlignment="0" applyProtection="0"/>
    <xf numFmtId="0" fontId="128" fillId="93" borderId="15" applyNumberFormat="0" applyAlignment="0" applyProtection="0"/>
    <xf numFmtId="0" fontId="128" fillId="93" borderId="15" applyNumberFormat="0" applyAlignment="0" applyProtection="0"/>
    <xf numFmtId="0" fontId="128" fillId="93" borderId="15" applyNumberFormat="0" applyAlignment="0" applyProtection="0"/>
    <xf numFmtId="0" fontId="128" fillId="93" borderId="15" applyNumberFormat="0" applyAlignment="0" applyProtection="0"/>
    <xf numFmtId="0" fontId="128" fillId="93" borderId="15" applyNumberFormat="0" applyAlignment="0" applyProtection="0"/>
    <xf numFmtId="0" fontId="107" fillId="93" borderId="15" applyNumberFormat="0" applyAlignment="0" applyProtection="0"/>
    <xf numFmtId="0" fontId="128"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28"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07" fillId="93" borderId="15" applyNumberFormat="0" applyAlignment="0" applyProtection="0"/>
    <xf numFmtId="0" fontId="128" fillId="93" borderId="15" applyNumberFormat="0" applyAlignment="0" applyProtection="0"/>
    <xf numFmtId="0" fontId="128" fillId="93" borderId="15" applyNumberFormat="0" applyAlignment="0" applyProtection="0"/>
    <xf numFmtId="0" fontId="128" fillId="93" borderId="15" applyNumberFormat="0" applyAlignment="0" applyProtection="0"/>
    <xf numFmtId="0" fontId="128" fillId="93" borderId="15" applyNumberFormat="0" applyAlignment="0" applyProtection="0"/>
    <xf numFmtId="0" fontId="128" fillId="93" borderId="15" applyNumberFormat="0" applyAlignment="0" applyProtection="0"/>
    <xf numFmtId="0" fontId="113" fillId="0" borderId="17" applyNumberFormat="0" applyFill="0" applyAlignment="0" applyProtection="0"/>
    <xf numFmtId="0" fontId="129" fillId="95" borderId="18" applyNumberFormat="0" applyAlignment="0" applyProtection="0"/>
    <xf numFmtId="0" fontId="129" fillId="95" borderId="18" applyNumberFormat="0" applyAlignment="0" applyProtection="0"/>
    <xf numFmtId="0" fontId="129" fillId="95" borderId="18" applyNumberFormat="0" applyAlignment="0" applyProtection="0"/>
    <xf numFmtId="0" fontId="129" fillId="95" borderId="18" applyNumberFormat="0" applyAlignment="0" applyProtection="0"/>
    <xf numFmtId="0" fontId="129" fillId="95" borderId="18" applyNumberFormat="0" applyAlignment="0" applyProtection="0"/>
    <xf numFmtId="0" fontId="114" fillId="95" borderId="18" applyNumberFormat="0" applyAlignment="0" applyProtection="0"/>
    <xf numFmtId="0" fontId="129"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29"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14" fillId="95" borderId="18" applyNumberFormat="0" applyAlignment="0" applyProtection="0"/>
    <xf numFmtId="0" fontId="129" fillId="95" borderId="18" applyNumberFormat="0" applyAlignment="0" applyProtection="0"/>
    <xf numFmtId="0" fontId="129" fillId="95" borderId="18" applyNumberFormat="0" applyAlignment="0" applyProtection="0"/>
    <xf numFmtId="0" fontId="129" fillId="95" borderId="18" applyNumberFormat="0" applyAlignment="0" applyProtection="0"/>
    <xf numFmtId="0" fontId="129" fillId="95" borderId="18" applyNumberFormat="0" applyAlignment="0" applyProtection="0"/>
    <xf numFmtId="0" fontId="129" fillId="95" borderId="18" applyNumberFormat="0" applyAlignment="0" applyProtection="0"/>
    <xf numFmtId="0" fontId="50" fillId="0" borderId="0">
      <alignment horizontal="center" vertical="center"/>
    </xf>
    <xf numFmtId="0" fontId="50" fillId="0" borderId="0">
      <alignment horizontal="center" vertical="center"/>
    </xf>
    <xf numFmtId="0" fontId="50" fillId="0" borderId="0">
      <alignment horizontal="center" vertical="center" wrapText="1"/>
    </xf>
    <xf numFmtId="0" fontId="50" fillId="0" borderId="0">
      <alignment horizontal="left" vertical="top" wrapText="1"/>
    </xf>
    <xf numFmtId="0" fontId="50" fillId="0" borderId="0">
      <alignment horizontal="center" vertical="center" wrapText="1"/>
    </xf>
    <xf numFmtId="41" fontId="37" fillId="0" borderId="0" applyFont="0" applyFill="0" applyBorder="0" applyAlignment="0" applyProtection="0"/>
    <xf numFmtId="180" fontId="4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0" fontId="57" fillId="0" borderId="0" applyFont="0" applyFill="0" applyBorder="0" applyAlignment="0" applyProtection="0"/>
    <xf numFmtId="43" fontId="41" fillId="0" borderId="0" applyFont="0" applyFill="0" applyBorder="0" applyAlignment="0" applyProtection="0"/>
    <xf numFmtId="43" fontId="37" fillId="0" borderId="0" applyFont="0" applyFill="0" applyBorder="0" applyAlignment="0" applyProtection="0"/>
    <xf numFmtId="43" fontId="41" fillId="0" borderId="0" applyFont="0" applyFill="0" applyBorder="0" applyAlignment="0" applyProtection="0"/>
    <xf numFmtId="179" fontId="118" fillId="0" borderId="0" applyFill="0" applyBorder="0" applyAlignment="0" applyProtection="0"/>
    <xf numFmtId="168" fontId="130" fillId="0" borderId="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4" fontId="76" fillId="0" borderId="0" applyFont="0" applyFill="0" applyBorder="0" applyAlignment="0" applyProtection="0"/>
    <xf numFmtId="43" fontId="37"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43" fontId="37"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43" fontId="37" fillId="0" borderId="0" applyFont="0" applyFill="0" applyBorder="0" applyAlignment="0" applyProtection="0"/>
    <xf numFmtId="164" fontId="7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8" fontId="41"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86" fontId="37" fillId="0" borderId="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8" fontId="37" fillId="0" borderId="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98" fontId="37" fillId="0" borderId="0" applyFont="0" applyFill="0" applyBorder="0" applyAlignment="0" applyProtection="0"/>
    <xf numFmtId="43" fontId="41"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87" fontId="130" fillId="0" borderId="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98"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86" fontId="37" fillId="0" borderId="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87" fontId="130" fillId="0" borderId="0" applyFill="0" applyBorder="0" applyAlignment="0" applyProtection="0"/>
    <xf numFmtId="176" fontId="37" fillId="0" borderId="0" applyFill="0" applyBorder="0" applyAlignment="0" applyProtection="0"/>
    <xf numFmtId="188" fontId="130" fillId="0" borderId="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04"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131" fillId="0" borderId="0" applyNumberFormat="0" applyFill="0" applyBorder="0" applyAlignment="0" applyProtection="0"/>
    <xf numFmtId="0" fontId="37" fillId="54" borderId="16" applyNumberFormat="0" applyFont="0" applyAlignment="0" applyProtection="0"/>
    <xf numFmtId="181" fontId="41"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196" fontId="151"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37" fillId="0" borderId="0" applyFont="0" applyFill="0" applyBorder="0" applyAlignment="0" applyProtection="0"/>
    <xf numFmtId="175"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131" fillId="0" borderId="0" applyNumberFormat="0" applyFill="0" applyBorder="0" applyAlignment="0" applyProtection="0"/>
    <xf numFmtId="14" fontId="127" fillId="0" borderId="0" applyFill="0" applyBorder="0" applyAlignment="0"/>
    <xf numFmtId="189" fontId="118" fillId="0" borderId="0" applyFill="0" applyBorder="0" applyAlignment="0" applyProtection="0"/>
    <xf numFmtId="190" fontId="118" fillId="0" borderId="0" applyFill="0" applyBorder="0" applyAlignment="0" applyProtection="0"/>
    <xf numFmtId="0" fontId="88" fillId="40" borderId="0" applyNumberFormat="0" applyBorder="0" applyAlignment="0" applyProtection="0"/>
    <xf numFmtId="0" fontId="159" fillId="123" borderId="0" applyNumberFormat="0" applyBorder="0" applyAlignment="0" applyProtection="0"/>
    <xf numFmtId="0" fontId="159" fillId="58" borderId="0" applyNumberFormat="0" applyBorder="0" applyAlignment="0" applyProtection="0"/>
    <xf numFmtId="0" fontId="98" fillId="43" borderId="15" applyNumberFormat="0" applyAlignment="0" applyProtection="0"/>
    <xf numFmtId="0" fontId="98" fillId="49" borderId="15" applyNumberFormat="0" applyAlignment="0" applyProtection="0"/>
    <xf numFmtId="0" fontId="73" fillId="96" borderId="0" applyNumberFormat="0" applyBorder="0" applyAlignment="0" applyProtection="0"/>
    <xf numFmtId="0" fontId="73" fillId="97" borderId="0" applyNumberFormat="0" applyBorder="0" applyAlignment="0" applyProtection="0"/>
    <xf numFmtId="0" fontId="73" fillId="98" borderId="0" applyNumberFormat="0" applyBorder="0" applyAlignment="0" applyProtection="0"/>
    <xf numFmtId="180" fontId="132" fillId="0" borderId="0" applyFill="0" applyBorder="0" applyAlignment="0"/>
    <xf numFmtId="181" fontId="132" fillId="0" borderId="0" applyFill="0" applyBorder="0" applyAlignment="0"/>
    <xf numFmtId="180" fontId="132" fillId="0" borderId="0" applyFill="0" applyBorder="0" applyAlignment="0"/>
    <xf numFmtId="185" fontId="132" fillId="0" borderId="0" applyFill="0" applyBorder="0" applyAlignment="0"/>
    <xf numFmtId="181" fontId="132" fillId="0" borderId="0" applyFill="0" applyBorder="0" applyAlignment="0"/>
    <xf numFmtId="0" fontId="116" fillId="43" borderId="15" applyNumberFormat="0" applyAlignment="0" applyProtection="0"/>
    <xf numFmtId="0" fontId="99" fillId="0" borderId="19" applyNumberFormat="0" applyFill="0" applyAlignment="0" applyProtection="0"/>
    <xf numFmtId="0" fontId="100" fillId="0" borderId="0" applyNumberFormat="0" applyFill="0" applyBorder="0" applyAlignment="0" applyProtection="0"/>
    <xf numFmtId="191" fontId="130" fillId="0" borderId="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7" fontId="41"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77" fontId="160" fillId="0" borderId="0" applyBorder="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15" fillId="0" borderId="0" applyNumberFormat="0" applyFill="0" applyBorder="0" applyAlignment="0" applyProtection="0"/>
    <xf numFmtId="0" fontId="133"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33"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4" fillId="40" borderId="0" applyNumberFormat="0" applyBorder="0" applyAlignment="0" applyProtection="0"/>
    <xf numFmtId="0" fontId="134" fillId="40" borderId="0" applyNumberFormat="0" applyBorder="0" applyAlignment="0" applyProtection="0"/>
    <xf numFmtId="0" fontId="134" fillId="40" borderId="0" applyNumberFormat="0" applyBorder="0" applyAlignment="0" applyProtection="0"/>
    <xf numFmtId="0" fontId="134" fillId="40" borderId="0" applyNumberFormat="0" applyBorder="0" applyAlignment="0" applyProtection="0"/>
    <xf numFmtId="0" fontId="134" fillId="40" borderId="0" applyNumberFormat="0" applyBorder="0" applyAlignment="0" applyProtection="0"/>
    <xf numFmtId="0" fontId="88" fillId="40" borderId="0" applyNumberFormat="0" applyBorder="0" applyAlignment="0" applyProtection="0"/>
    <xf numFmtId="0" fontId="134"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134"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134" fillId="40" borderId="0" applyNumberFormat="0" applyBorder="0" applyAlignment="0" applyProtection="0"/>
    <xf numFmtId="0" fontId="134" fillId="40" borderId="0" applyNumberFormat="0" applyBorder="0" applyAlignment="0" applyProtection="0"/>
    <xf numFmtId="0" fontId="134" fillId="40" borderId="0" applyNumberFormat="0" applyBorder="0" applyAlignment="0" applyProtection="0"/>
    <xf numFmtId="0" fontId="134" fillId="40" borderId="0" applyNumberFormat="0" applyBorder="0" applyAlignment="0" applyProtection="0"/>
    <xf numFmtId="0" fontId="134" fillId="40" borderId="0" applyNumberFormat="0" applyBorder="0" applyAlignment="0" applyProtection="0"/>
    <xf numFmtId="38" fontId="80" fillId="99" borderId="0" applyNumberFormat="0" applyBorder="0" applyAlignment="0" applyProtection="0"/>
    <xf numFmtId="0" fontId="101" fillId="40" borderId="0" applyNumberFormat="0" applyBorder="0" applyAlignment="0" applyProtection="0"/>
    <xf numFmtId="0" fontId="101" fillId="46" borderId="0" applyNumberFormat="0" applyBorder="0" applyAlignment="0" applyProtection="0"/>
    <xf numFmtId="0" fontId="135" fillId="0" borderId="20" applyNumberFormat="0" applyAlignment="0" applyProtection="0">
      <alignment horizontal="left" vertical="center"/>
    </xf>
    <xf numFmtId="0" fontId="135" fillId="0" borderId="13">
      <alignment horizontal="left" vertical="center"/>
    </xf>
    <xf numFmtId="0" fontId="136" fillId="0" borderId="21" applyNumberFormat="0" applyFill="0" applyAlignment="0" applyProtection="0"/>
    <xf numFmtId="0" fontId="136" fillId="0" borderId="21" applyNumberFormat="0" applyFill="0" applyAlignment="0" applyProtection="0"/>
    <xf numFmtId="0" fontId="136" fillId="0" borderId="21" applyNumberFormat="0" applyFill="0" applyAlignment="0" applyProtection="0"/>
    <xf numFmtId="0" fontId="136" fillId="0" borderId="21" applyNumberFormat="0" applyFill="0" applyAlignment="0" applyProtection="0"/>
    <xf numFmtId="0" fontId="136" fillId="0" borderId="21" applyNumberFormat="0" applyFill="0" applyAlignment="0" applyProtection="0"/>
    <xf numFmtId="0" fontId="109" fillId="0" borderId="21" applyNumberFormat="0" applyFill="0" applyAlignment="0" applyProtection="0"/>
    <xf numFmtId="0" fontId="136"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36"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09" fillId="0" borderId="21" applyNumberFormat="0" applyFill="0" applyAlignment="0" applyProtection="0"/>
    <xf numFmtId="0" fontId="136" fillId="0" borderId="21" applyNumberFormat="0" applyFill="0" applyAlignment="0" applyProtection="0"/>
    <xf numFmtId="0" fontId="136" fillId="0" borderId="21" applyNumberFormat="0" applyFill="0" applyAlignment="0" applyProtection="0"/>
    <xf numFmtId="0" fontId="136" fillId="0" borderId="21" applyNumberFormat="0" applyFill="0" applyAlignment="0" applyProtection="0"/>
    <xf numFmtId="0" fontId="136" fillId="0" borderId="21" applyNumberFormat="0" applyFill="0" applyAlignment="0" applyProtection="0"/>
    <xf numFmtId="0" fontId="136" fillId="0" borderId="21" applyNumberFormat="0" applyFill="0" applyAlignment="0" applyProtection="0"/>
    <xf numFmtId="0" fontId="137" fillId="0" borderId="22" applyNumberFormat="0" applyFill="0" applyAlignment="0" applyProtection="0"/>
    <xf numFmtId="0" fontId="137" fillId="0" borderId="22" applyNumberFormat="0" applyFill="0" applyAlignment="0" applyProtection="0"/>
    <xf numFmtId="0" fontId="137" fillId="0" borderId="22" applyNumberFormat="0" applyFill="0" applyAlignment="0" applyProtection="0"/>
    <xf numFmtId="0" fontId="137" fillId="0" borderId="22" applyNumberFormat="0" applyFill="0" applyAlignment="0" applyProtection="0"/>
    <xf numFmtId="0" fontId="137" fillId="0" borderId="22" applyNumberFormat="0" applyFill="0" applyAlignment="0" applyProtection="0"/>
    <xf numFmtId="0" fontId="110" fillId="0" borderId="22" applyNumberFormat="0" applyFill="0" applyAlignment="0" applyProtection="0"/>
    <xf numFmtId="0" fontId="137"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37"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10" fillId="0" borderId="22" applyNumberFormat="0" applyFill="0" applyAlignment="0" applyProtection="0"/>
    <xf numFmtId="0" fontId="137" fillId="0" borderId="22" applyNumberFormat="0" applyFill="0" applyAlignment="0" applyProtection="0"/>
    <xf numFmtId="0" fontId="137" fillId="0" borderId="22" applyNumberFormat="0" applyFill="0" applyAlignment="0" applyProtection="0"/>
    <xf numFmtId="0" fontId="137" fillId="0" borderId="22" applyNumberFormat="0" applyFill="0" applyAlignment="0" applyProtection="0"/>
    <xf numFmtId="0" fontId="137" fillId="0" borderId="22" applyNumberFormat="0" applyFill="0" applyAlignment="0" applyProtection="0"/>
    <xf numFmtId="0" fontId="137" fillId="0" borderId="22"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111" fillId="0" borderId="23" applyNumberFormat="0" applyFill="0" applyAlignment="0" applyProtection="0"/>
    <xf numFmtId="0" fontId="138"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38"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11" fillId="0" borderId="23"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11" fillId="0" borderId="0" applyNumberFormat="0" applyFill="0" applyBorder="0" applyAlignment="0" applyProtection="0"/>
    <xf numFmtId="0" fontId="138"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38"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61" fillId="0" borderId="0" applyNumberFormat="0" applyFill="0" applyBorder="0" applyAlignment="0" applyProtection="0"/>
    <xf numFmtId="0" fontId="106" fillId="0" borderId="0" applyNumberFormat="0" applyFill="0" applyBorder="0" applyAlignment="0" applyProtection="0">
      <alignment vertical="top"/>
      <protection locked="0"/>
    </xf>
    <xf numFmtId="0" fontId="106" fillId="0" borderId="0" applyNumberFormat="0" applyFill="0" applyBorder="0" applyAlignment="0" applyProtection="0"/>
    <xf numFmtId="10" fontId="80" fillId="55" borderId="10" applyNumberFormat="0" applyBorder="0" applyAlignment="0" applyProtection="0"/>
    <xf numFmtId="0" fontId="139" fillId="43" borderId="15" applyNumberFormat="0" applyAlignment="0" applyProtection="0"/>
    <xf numFmtId="0" fontId="139" fillId="43" borderId="15" applyNumberFormat="0" applyAlignment="0" applyProtection="0"/>
    <xf numFmtId="0" fontId="139" fillId="43" borderId="15" applyNumberFormat="0" applyAlignment="0" applyProtection="0"/>
    <xf numFmtId="0" fontId="139" fillId="43" borderId="15" applyNumberFormat="0" applyAlignment="0" applyProtection="0"/>
    <xf numFmtId="0" fontId="139" fillId="43" borderId="15" applyNumberFormat="0" applyAlignment="0" applyProtection="0"/>
    <xf numFmtId="0" fontId="116" fillId="66" borderId="15" applyNumberFormat="0" applyAlignment="0" applyProtection="0"/>
    <xf numFmtId="0" fontId="116" fillId="66" borderId="15" applyNumberFormat="0" applyAlignment="0" applyProtection="0"/>
    <xf numFmtId="0" fontId="116" fillId="66" borderId="15" applyNumberFormat="0" applyAlignment="0" applyProtection="0"/>
    <xf numFmtId="0" fontId="116" fillId="66" borderId="15" applyNumberFormat="0" applyAlignment="0" applyProtection="0"/>
    <xf numFmtId="0" fontId="116" fillId="66" borderId="15" applyNumberFormat="0" applyAlignment="0" applyProtection="0"/>
    <xf numFmtId="0" fontId="116" fillId="43" borderId="15" applyNumberFormat="0" applyAlignment="0" applyProtection="0"/>
    <xf numFmtId="0" fontId="116" fillId="66" borderId="15" applyNumberFormat="0" applyAlignment="0" applyProtection="0"/>
    <xf numFmtId="0" fontId="116" fillId="66" borderId="15" applyNumberFormat="0" applyAlignment="0" applyProtection="0"/>
    <xf numFmtId="0" fontId="116" fillId="66" borderId="15" applyNumberFormat="0" applyAlignment="0" applyProtection="0"/>
    <xf numFmtId="0" fontId="116" fillId="66" borderId="15" applyNumberFormat="0" applyAlignment="0" applyProtection="0"/>
    <xf numFmtId="0" fontId="116" fillId="66" borderId="15" applyNumberFormat="0" applyAlignment="0" applyProtection="0"/>
    <xf numFmtId="0" fontId="139"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39"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16" fillId="43" borderId="15" applyNumberFormat="0" applyAlignment="0" applyProtection="0"/>
    <xf numFmtId="0" fontId="139" fillId="43" borderId="15" applyNumberFormat="0" applyAlignment="0" applyProtection="0"/>
    <xf numFmtId="0" fontId="139" fillId="43" borderId="15" applyNumberFormat="0" applyAlignment="0" applyProtection="0"/>
    <xf numFmtId="0" fontId="139" fillId="43" borderId="15" applyNumberFormat="0" applyAlignment="0" applyProtection="0"/>
    <xf numFmtId="0" fontId="139" fillId="43" borderId="15" applyNumberFormat="0" applyAlignment="0" applyProtection="0"/>
    <xf numFmtId="0" fontId="139" fillId="43" borderId="15" applyNumberFormat="0" applyAlignment="0" applyProtection="0"/>
    <xf numFmtId="0" fontId="108" fillId="39" borderId="0" applyNumberFormat="0" applyBorder="0" applyAlignment="0" applyProtection="0"/>
    <xf numFmtId="0" fontId="105" fillId="76" borderId="0" applyNumberFormat="0" applyBorder="0" applyAlignment="0" applyProtection="0"/>
    <xf numFmtId="0" fontId="105" fillId="124" borderId="0" applyNumberFormat="0" applyBorder="0" applyAlignment="0" applyProtection="0"/>
    <xf numFmtId="0" fontId="105" fillId="100" borderId="0" applyNumberFormat="0" applyBorder="0" applyAlignment="0" applyProtection="0"/>
    <xf numFmtId="0" fontId="105" fillId="80" borderId="0" applyNumberFormat="0" applyBorder="0" applyAlignment="0" applyProtection="0"/>
    <xf numFmtId="0" fontId="105" fillId="125" borderId="0" applyNumberFormat="0" applyBorder="0" applyAlignment="0" applyProtection="0"/>
    <xf numFmtId="0" fontId="105" fillId="36" borderId="0" applyNumberFormat="0" applyBorder="0" applyAlignment="0" applyProtection="0"/>
    <xf numFmtId="0" fontId="105" fillId="83" borderId="0" applyNumberFormat="0" applyBorder="0" applyAlignment="0" applyProtection="0"/>
    <xf numFmtId="0" fontId="105" fillId="126" borderId="0" applyNumberFormat="0" applyBorder="0" applyAlignment="0" applyProtection="0"/>
    <xf numFmtId="0" fontId="105" fillId="67" borderId="0" applyNumberFormat="0" applyBorder="0" applyAlignment="0" applyProtection="0"/>
    <xf numFmtId="0" fontId="105" fillId="69" borderId="0" applyNumberFormat="0" applyBorder="0" applyAlignment="0" applyProtection="0"/>
    <xf numFmtId="0" fontId="105" fillId="127" borderId="0" applyNumberFormat="0" applyBorder="0" applyAlignment="0" applyProtection="0"/>
    <xf numFmtId="0" fontId="105" fillId="102" borderId="0" applyNumberFormat="0" applyBorder="0" applyAlignment="0" applyProtection="0"/>
    <xf numFmtId="0" fontId="105" fillId="70" borderId="0" applyNumberFormat="0" applyBorder="0" applyAlignment="0" applyProtection="0"/>
    <xf numFmtId="0" fontId="105" fillId="128" borderId="0" applyNumberFormat="0" applyBorder="0" applyAlignment="0" applyProtection="0"/>
    <xf numFmtId="0" fontId="105" fillId="88" borderId="0" applyNumberFormat="0" applyBorder="0" applyAlignment="0" applyProtection="0"/>
    <xf numFmtId="0" fontId="105" fillId="129" borderId="0" applyNumberFormat="0" applyBorder="0" applyAlignment="0" applyProtection="0"/>
    <xf numFmtId="0" fontId="105" fillId="101" borderId="0" applyNumberFormat="0" applyBorder="0" applyAlignment="0" applyProtection="0"/>
    <xf numFmtId="0" fontId="140" fillId="93" borderId="14" applyNumberFormat="0" applyAlignment="0" applyProtection="0"/>
    <xf numFmtId="0" fontId="89" fillId="93" borderId="14" applyNumberFormat="0" applyAlignment="0" applyProtection="0"/>
    <xf numFmtId="0" fontId="162" fillId="130" borderId="5" applyNumberFormat="0" applyAlignment="0" applyProtection="0"/>
    <xf numFmtId="0" fontId="162" fillId="103" borderId="5" applyNumberFormat="0" applyAlignment="0" applyProtection="0"/>
    <xf numFmtId="0" fontId="107" fillId="93" borderId="15" applyNumberFormat="0" applyAlignment="0" applyProtection="0"/>
    <xf numFmtId="0" fontId="163" fillId="130" borderId="4" applyNumberFormat="0" applyAlignment="0" applyProtection="0"/>
    <xf numFmtId="0" fontId="74" fillId="103" borderId="4" applyNumberFormat="0" applyAlignment="0" applyProtection="0"/>
    <xf numFmtId="39" fontId="41" fillId="0" borderId="24">
      <alignment horizontal="right" vertical="top" wrapText="1"/>
    </xf>
    <xf numFmtId="0" fontId="90" fillId="0" borderId="0">
      <alignment horizontal="right" vertical="top"/>
    </xf>
    <xf numFmtId="0" fontId="91" fillId="0" borderId="0">
      <alignment horizontal="justify" vertical="top" wrapText="1"/>
    </xf>
    <xf numFmtId="0" fontId="90" fillId="0" borderId="0">
      <alignment horizontal="left"/>
    </xf>
    <xf numFmtId="4" fontId="91" fillId="0" borderId="0">
      <alignment horizontal="right"/>
    </xf>
    <xf numFmtId="0" fontId="91" fillId="0" borderId="0">
      <alignment horizontal="right"/>
    </xf>
    <xf numFmtId="4" fontId="91" fillId="0" borderId="0">
      <alignment horizontal="right" wrapText="1"/>
    </xf>
    <xf numFmtId="0" fontId="91" fillId="0" borderId="0">
      <alignment horizontal="right"/>
    </xf>
    <xf numFmtId="4" fontId="91" fillId="0" borderId="0">
      <alignment horizontal="right"/>
    </xf>
    <xf numFmtId="49" fontId="141" fillId="0" borderId="25" applyFill="0" applyProtection="0">
      <alignment horizontal="center" vertical="center"/>
    </xf>
    <xf numFmtId="180" fontId="142" fillId="0" borderId="0" applyFill="0" applyBorder="0" applyAlignment="0"/>
    <xf numFmtId="181" fontId="142" fillId="0" borderId="0" applyFill="0" applyBorder="0" applyAlignment="0"/>
    <xf numFmtId="180" fontId="142" fillId="0" borderId="0" applyFill="0" applyBorder="0" applyAlignment="0"/>
    <xf numFmtId="185" fontId="142" fillId="0" borderId="0" applyFill="0" applyBorder="0" applyAlignment="0"/>
    <xf numFmtId="181" fontId="142" fillId="0" borderId="0" applyFill="0" applyBorder="0" applyAlignment="0"/>
    <xf numFmtId="0" fontId="14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13" fillId="0" borderId="17" applyNumberFormat="0" applyFill="0" applyAlignment="0" applyProtection="0"/>
    <xf numFmtId="0" fontId="14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4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1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43" fillId="0" borderId="17" applyNumberFormat="0" applyFill="0" applyAlignment="0" applyProtection="0"/>
    <xf numFmtId="0" fontId="108" fillId="39" borderId="0" applyNumberFormat="0" applyBorder="0" applyAlignment="0" applyProtection="0"/>
    <xf numFmtId="0" fontId="164" fillId="131" borderId="0" applyNumberFormat="0" applyBorder="0" applyAlignment="0" applyProtection="0"/>
    <xf numFmtId="0" fontId="164" fillId="56" borderId="0" applyNumberFormat="0" applyBorder="0" applyAlignment="0" applyProtection="0"/>
    <xf numFmtId="193" fontId="94" fillId="0" borderId="0" applyFont="0" applyFill="0" applyBorder="0" applyAlignment="0" applyProtection="0"/>
    <xf numFmtId="194" fontId="94" fillId="0" borderId="0" applyFont="0" applyFill="0" applyBorder="0" applyAlignment="0" applyProtection="0"/>
    <xf numFmtId="0" fontId="109" fillId="0" borderId="21" applyNumberFormat="0" applyFill="0" applyAlignment="0" applyProtection="0"/>
    <xf numFmtId="0" fontId="165" fillId="0" borderId="1" applyNumberFormat="0" applyFill="0" applyAlignment="0" applyProtection="0"/>
    <xf numFmtId="0" fontId="154" fillId="0" borderId="26" applyNumberFormat="0" applyFill="0" applyAlignment="0" applyProtection="0"/>
    <xf numFmtId="49" fontId="144" fillId="0" borderId="0" applyFill="0" applyBorder="0" applyProtection="0">
      <alignment horizontal="center" vertical="center"/>
      <protection locked="0"/>
    </xf>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7" fillId="0" borderId="0" applyNumberFormat="0" applyFill="0" applyBorder="0" applyAlignment="0" applyProtection="0"/>
    <xf numFmtId="0" fontId="152" fillId="0" borderId="0" applyNumberFormat="0" applyFill="0" applyBorder="0" applyAlignment="0" applyProtection="0"/>
    <xf numFmtId="0" fontId="167" fillId="0" borderId="0" applyNumberFormat="0" applyFill="0" applyBorder="0" applyAlignment="0" applyProtection="0"/>
    <xf numFmtId="0" fontId="152" fillId="0" borderId="0" applyNumberFormat="0" applyFill="0" applyBorder="0" applyAlignment="0" applyProtection="0"/>
    <xf numFmtId="0" fontId="167" fillId="0" borderId="0" applyNumberFormat="0" applyFill="0" applyBorder="0" applyAlignment="0" applyProtection="0"/>
    <xf numFmtId="0" fontId="152" fillId="0" borderId="0" applyNumberFormat="0" applyFill="0" applyBorder="0" applyAlignment="0" applyProtection="0"/>
    <xf numFmtId="0" fontId="167" fillId="0" borderId="0" applyNumberFormat="0" applyFill="0" applyBorder="0" applyAlignment="0" applyProtection="0"/>
    <xf numFmtId="0" fontId="152" fillId="0" borderId="0" applyNumberFormat="0" applyFill="0" applyBorder="0" applyAlignment="0" applyProtection="0"/>
    <xf numFmtId="0" fontId="167" fillId="0" borderId="0" applyNumberFormat="0" applyFill="0" applyBorder="0" applyAlignment="0" applyProtection="0"/>
    <xf numFmtId="0" fontId="152" fillId="0" borderId="0" applyNumberFormat="0" applyFill="0" applyBorder="0" applyAlignment="0" applyProtection="0"/>
    <xf numFmtId="49" fontId="144" fillId="0" borderId="0" applyFill="0" applyBorder="0" applyProtection="0">
      <alignment horizontal="center" vertical="center"/>
      <protection locked="0"/>
    </xf>
    <xf numFmtId="49" fontId="144" fillId="0" borderId="0" applyFill="0" applyBorder="0" applyProtection="0">
      <alignment horizontal="center" vertical="center"/>
      <protection locked="0"/>
    </xf>
    <xf numFmtId="49" fontId="144" fillId="0" borderId="0" applyFill="0" applyBorder="0" applyProtection="0">
      <alignment horizontal="center" vertical="center"/>
      <protection locked="0"/>
    </xf>
    <xf numFmtId="49" fontId="144" fillId="0" borderId="0" applyFill="0" applyBorder="0" applyProtection="0">
      <alignment horizontal="center" vertical="center"/>
      <protection locked="0"/>
    </xf>
    <xf numFmtId="49" fontId="144" fillId="0" borderId="0" applyFill="0" applyBorder="0" applyProtection="0">
      <alignment horizontal="center" vertical="center"/>
      <protection locked="0"/>
    </xf>
    <xf numFmtId="49" fontId="144" fillId="0" borderId="0" applyFill="0" applyBorder="0" applyProtection="0">
      <alignment horizontal="center" vertical="center"/>
      <protection locked="0"/>
    </xf>
    <xf numFmtId="49" fontId="144" fillId="0" borderId="0" applyFill="0" applyBorder="0" applyProtection="0">
      <alignment horizontal="center" vertical="center"/>
      <protection locked="0"/>
    </xf>
    <xf numFmtId="49" fontId="144" fillId="0" borderId="0" applyFill="0" applyBorder="0" applyProtection="0">
      <alignment horizontal="center" vertical="center"/>
    </xf>
    <xf numFmtId="49" fontId="144" fillId="0" borderId="0" applyFill="0" applyBorder="0" applyProtection="0">
      <alignment horizontal="center" vertical="center"/>
    </xf>
    <xf numFmtId="0" fontId="110" fillId="0" borderId="22" applyNumberFormat="0" applyFill="0" applyAlignment="0" applyProtection="0"/>
    <xf numFmtId="0" fontId="168" fillId="0" borderId="29" applyNumberFormat="0" applyFill="0" applyAlignment="0" applyProtection="0"/>
    <xf numFmtId="0" fontId="155" fillId="0" borderId="27" applyNumberFormat="0" applyFill="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11" fillId="0" borderId="23" applyNumberFormat="0" applyFill="0" applyAlignment="0" applyProtection="0"/>
    <xf numFmtId="0" fontId="169" fillId="0" borderId="3" applyNumberFormat="0" applyFill="0" applyAlignment="0" applyProtection="0"/>
    <xf numFmtId="0" fontId="156" fillId="0" borderId="28" applyNumberFormat="0" applyFill="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11" fillId="0" borderId="0" applyNumberFormat="0" applyFill="0" applyBorder="0" applyAlignment="0" applyProtection="0"/>
    <xf numFmtId="0" fontId="169" fillId="0" borderId="0" applyNumberFormat="0" applyFill="0" applyBorder="0" applyAlignment="0" applyProtection="0"/>
    <xf numFmtId="0" fontId="156"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87" fillId="0" borderId="0" applyNumberFormat="0" applyFill="0" applyBorder="0" applyAlignment="0" applyProtection="0"/>
    <xf numFmtId="49" fontId="144" fillId="0" borderId="0" applyFill="0" applyBorder="0" applyProtection="0">
      <alignment horizontal="center" vertical="center"/>
      <protection locked="0"/>
    </xf>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49" fontId="144" fillId="0" borderId="0" applyFill="0" applyBorder="0" applyProtection="0">
      <alignment horizontal="center" vertical="center"/>
      <protection locked="0"/>
    </xf>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49" fontId="144" fillId="0" borderId="0" applyFill="0" applyBorder="0" applyProtection="0">
      <alignment horizontal="center" vertical="center"/>
      <protection locked="0"/>
    </xf>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49" fontId="144" fillId="0" borderId="0" applyFill="0" applyBorder="0" applyProtection="0">
      <alignment horizontal="center" vertical="center"/>
      <protection locked="0"/>
    </xf>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49" fontId="144" fillId="0" borderId="0" applyFill="0" applyBorder="0" applyProtection="0">
      <alignment horizontal="center" vertical="center"/>
      <protection locked="0"/>
    </xf>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0" fontId="166" fillId="0" borderId="0" applyNumberFormat="0" applyFill="0" applyBorder="0" applyAlignment="0" applyProtection="0"/>
    <xf numFmtId="0" fontId="158" fillId="0" borderId="0" applyNumberFormat="0" applyFill="0" applyBorder="0" applyAlignment="0" applyProtection="0"/>
    <xf numFmtId="178" fontId="37" fillId="0" borderId="0">
      <alignment vertical="top"/>
    </xf>
    <xf numFmtId="0" fontId="37" fillId="0" borderId="0"/>
    <xf numFmtId="0" fontId="145" fillId="65" borderId="0" applyNumberFormat="0" applyBorder="0" applyAlignment="0" applyProtection="0"/>
    <xf numFmtId="0" fontId="145" fillId="65" borderId="0" applyNumberFormat="0" applyBorder="0" applyAlignment="0" applyProtection="0"/>
    <xf numFmtId="0" fontId="145" fillId="65" borderId="0" applyNumberFormat="0" applyBorder="0" applyAlignment="0" applyProtection="0"/>
    <xf numFmtId="0" fontId="145" fillId="65" borderId="0" applyNumberFormat="0" applyBorder="0" applyAlignment="0" applyProtection="0"/>
    <xf numFmtId="0" fontId="145" fillId="65" borderId="0" applyNumberFormat="0" applyBorder="0" applyAlignment="0" applyProtection="0"/>
    <xf numFmtId="0" fontId="66" fillId="4" borderId="0" applyNumberFormat="0" applyBorder="0" applyAlignment="0" applyProtection="0"/>
    <xf numFmtId="0" fontId="112" fillId="65" borderId="0" applyNumberFormat="0" applyBorder="0" applyAlignment="0" applyProtection="0"/>
    <xf numFmtId="0" fontId="145"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45"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0" fontId="145" fillId="65" borderId="0" applyNumberFormat="0" applyBorder="0" applyAlignment="0" applyProtection="0"/>
    <xf numFmtId="0" fontId="145" fillId="65" borderId="0" applyNumberFormat="0" applyBorder="0" applyAlignment="0" applyProtection="0"/>
    <xf numFmtId="0" fontId="145" fillId="65" borderId="0" applyNumberFormat="0" applyBorder="0" applyAlignment="0" applyProtection="0"/>
    <xf numFmtId="0" fontId="145" fillId="65" borderId="0" applyNumberFormat="0" applyBorder="0" applyAlignment="0" applyProtection="0"/>
    <xf numFmtId="0" fontId="145" fillId="65" borderId="0" applyNumberFormat="0" applyBorder="0" applyAlignment="0" applyProtection="0"/>
    <xf numFmtId="0" fontId="112" fillId="65" borderId="0" applyNumberFormat="0" applyBorder="0" applyAlignment="0" applyProtection="0"/>
    <xf numFmtId="0" fontId="170" fillId="132" borderId="0" applyNumberFormat="0" applyBorder="0" applyAlignment="0" applyProtection="0"/>
    <xf numFmtId="0" fontId="157" fillId="132" borderId="0" applyNumberFormat="0" applyBorder="0" applyAlignment="0" applyProtection="0"/>
    <xf numFmtId="0" fontId="112" fillId="65" borderId="0" applyNumberFormat="0" applyBorder="0" applyAlignment="0" applyProtection="0"/>
    <xf numFmtId="0" fontId="145" fillId="65" borderId="0" applyNumberFormat="0" applyBorder="0" applyAlignment="0" applyProtection="0"/>
    <xf numFmtId="195" fontId="146" fillId="0" borderId="0"/>
    <xf numFmtId="0" fontId="3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3" fillId="0" borderId="0"/>
    <xf numFmtId="0" fontId="37" fillId="0" borderId="0"/>
    <xf numFmtId="0" fontId="39" fillId="0" borderId="0"/>
    <xf numFmtId="0" fontId="37" fillId="0" borderId="0"/>
    <xf numFmtId="0" fontId="37" fillId="0" borderId="0"/>
    <xf numFmtId="0" fontId="37" fillId="0" borderId="0"/>
    <xf numFmtId="0" fontId="37" fillId="0" borderId="0"/>
    <xf numFmtId="0" fontId="37" fillId="0" borderId="0"/>
    <xf numFmtId="0" fontId="37" fillId="0" borderId="0"/>
    <xf numFmtId="0" fontId="4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6" fillId="0" borderId="0"/>
    <xf numFmtId="0" fontId="37" fillId="0" borderId="0"/>
    <xf numFmtId="0" fontId="37" fillId="0" borderId="0"/>
    <xf numFmtId="0" fontId="37" fillId="0" borderId="0"/>
    <xf numFmtId="0" fontId="37" fillId="0" borderId="0"/>
    <xf numFmtId="0" fontId="2" fillId="0" borderId="0"/>
    <xf numFmtId="0" fontId="2" fillId="0" borderId="0"/>
    <xf numFmtId="0" fontId="37" fillId="0" borderId="0"/>
    <xf numFmtId="0" fontId="37" fillId="0" borderId="0"/>
    <xf numFmtId="0" fontId="37" fillId="0" borderId="0"/>
    <xf numFmtId="0" fontId="37" fillId="0" borderId="0"/>
    <xf numFmtId="0" fontId="171" fillId="0" borderId="0"/>
    <xf numFmtId="0" fontId="37" fillId="0" borderId="0"/>
    <xf numFmtId="0" fontId="37" fillId="0" borderId="0"/>
    <xf numFmtId="0" fontId="4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37" fillId="0" borderId="0"/>
    <xf numFmtId="0" fontId="37" fillId="0" borderId="0"/>
    <xf numFmtId="0" fontId="57" fillId="0" borderId="0"/>
    <xf numFmtId="0" fontId="41" fillId="0" borderId="0"/>
    <xf numFmtId="0" fontId="37" fillId="0" borderId="0"/>
    <xf numFmtId="0" fontId="2" fillId="0" borderId="0"/>
    <xf numFmtId="0" fontId="37" fillId="0" borderId="0"/>
    <xf numFmtId="0" fontId="37" fillId="0" borderId="0"/>
    <xf numFmtId="0" fontId="41" fillId="0" borderId="0"/>
    <xf numFmtId="0" fontId="37" fillId="0" borderId="0"/>
    <xf numFmtId="0" fontId="37" fillId="0" borderId="0"/>
    <xf numFmtId="0" fontId="37" fillId="0" borderId="0"/>
    <xf numFmtId="0" fontId="37" fillId="0" borderId="0"/>
    <xf numFmtId="0" fontId="41" fillId="0" borderId="0"/>
    <xf numFmtId="0" fontId="37" fillId="0" borderId="0"/>
    <xf numFmtId="0" fontId="37" fillId="0" borderId="0"/>
    <xf numFmtId="0" fontId="37" fillId="0" borderId="0"/>
    <xf numFmtId="0" fontId="37" fillId="0" borderId="0"/>
    <xf numFmtId="0" fontId="41" fillId="0" borderId="0"/>
    <xf numFmtId="0" fontId="37" fillId="0" borderId="0"/>
    <xf numFmtId="0" fontId="37" fillId="0" borderId="0"/>
    <xf numFmtId="0" fontId="37" fillId="0" borderId="0"/>
    <xf numFmtId="0" fontId="37" fillId="0" borderId="0"/>
    <xf numFmtId="0" fontId="37" fillId="0" borderId="0"/>
    <xf numFmtId="0" fontId="37" fillId="0" borderId="0"/>
    <xf numFmtId="0" fontId="41" fillId="0" borderId="0"/>
    <xf numFmtId="0" fontId="41" fillId="0" borderId="0"/>
    <xf numFmtId="0" fontId="37" fillId="0" borderId="0"/>
    <xf numFmtId="0" fontId="41" fillId="0" borderId="0"/>
    <xf numFmtId="0" fontId="37" fillId="0" borderId="0"/>
    <xf numFmtId="0" fontId="41" fillId="0" borderId="0"/>
    <xf numFmtId="0" fontId="41" fillId="0" borderId="0"/>
    <xf numFmtId="0" fontId="41" fillId="0" borderId="0"/>
    <xf numFmtId="0" fontId="37" fillId="0" borderId="0"/>
    <xf numFmtId="0" fontId="3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7" fillId="0" borderId="0"/>
    <xf numFmtId="0" fontId="37" fillId="0" borderId="0"/>
    <xf numFmtId="0" fontId="37" fillId="0" borderId="0"/>
    <xf numFmtId="0" fontId="41" fillId="0" borderId="0"/>
    <xf numFmtId="0" fontId="3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7" fillId="0" borderId="0"/>
    <xf numFmtId="0" fontId="37" fillId="0" borderId="0"/>
    <xf numFmtId="0" fontId="37" fillId="0" borderId="0"/>
    <xf numFmtId="0" fontId="41" fillId="0" borderId="0"/>
    <xf numFmtId="0" fontId="37" fillId="0" borderId="0"/>
    <xf numFmtId="0" fontId="37" fillId="0" borderId="0"/>
    <xf numFmtId="0" fontId="37" fillId="0" borderId="0"/>
    <xf numFmtId="0" fontId="41" fillId="0" borderId="0"/>
    <xf numFmtId="0" fontId="37" fillId="0" borderId="0"/>
    <xf numFmtId="0" fontId="41" fillId="0" borderId="0"/>
    <xf numFmtId="0" fontId="41" fillId="0" borderId="0"/>
    <xf numFmtId="0" fontId="37" fillId="0" borderId="0"/>
    <xf numFmtId="0" fontId="37" fillId="0" borderId="0"/>
    <xf numFmtId="0" fontId="37" fillId="0" borderId="0"/>
    <xf numFmtId="0" fontId="41" fillId="0" borderId="0"/>
    <xf numFmtId="0" fontId="37" fillId="0" borderId="0"/>
    <xf numFmtId="0" fontId="37" fillId="0" borderId="0"/>
    <xf numFmtId="0" fontId="37" fillId="0" borderId="0"/>
    <xf numFmtId="0" fontId="37" fillId="0" borderId="0"/>
    <xf numFmtId="0" fontId="41" fillId="0" borderId="0"/>
    <xf numFmtId="0" fontId="37" fillId="0" borderId="0"/>
    <xf numFmtId="0" fontId="37" fillId="0" borderId="0"/>
    <xf numFmtId="0" fontId="37" fillId="0" borderId="0"/>
    <xf numFmtId="0" fontId="37" fillId="0" borderId="0"/>
    <xf numFmtId="0" fontId="41" fillId="0" borderId="0"/>
    <xf numFmtId="0" fontId="37" fillId="0" borderId="0"/>
    <xf numFmtId="0" fontId="37" fillId="0" borderId="0"/>
    <xf numFmtId="0" fontId="37" fillId="0" borderId="0"/>
    <xf numFmtId="0" fontId="37" fillId="0" borderId="0"/>
    <xf numFmtId="0" fontId="41" fillId="0" borderId="0"/>
    <xf numFmtId="0" fontId="37" fillId="0" borderId="0"/>
    <xf numFmtId="0" fontId="37" fillId="0" borderId="0"/>
    <xf numFmtId="0" fontId="5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37" fillId="0" borderId="0"/>
    <xf numFmtId="0" fontId="37" fillId="0" borderId="0"/>
    <xf numFmtId="0" fontId="37" fillId="0" borderId="0"/>
    <xf numFmtId="0" fontId="1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1" fillId="0" borderId="0"/>
    <xf numFmtId="0" fontId="37" fillId="0" borderId="0"/>
    <xf numFmtId="0" fontId="41" fillId="0" borderId="0"/>
    <xf numFmtId="0" fontId="41" fillId="0" borderId="0"/>
    <xf numFmtId="0" fontId="41" fillId="0" borderId="0"/>
    <xf numFmtId="0" fontId="41" fillId="0" borderId="0"/>
    <xf numFmtId="0" fontId="76" fillId="0" borderId="0"/>
    <xf numFmtId="0" fontId="37" fillId="0" borderId="0"/>
    <xf numFmtId="0" fontId="57" fillId="0" borderId="0"/>
    <xf numFmtId="0" fontId="37" fillId="0" borderId="0"/>
    <xf numFmtId="0" fontId="37" fillId="0" borderId="0"/>
    <xf numFmtId="0" fontId="3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 fillId="0" borderId="0"/>
    <xf numFmtId="0" fontId="37" fillId="0" borderId="0"/>
    <xf numFmtId="0" fontId="50" fillId="0" borderId="0"/>
    <xf numFmtId="0" fontId="50" fillId="0" borderId="0"/>
    <xf numFmtId="0" fontId="2" fillId="0" borderId="0"/>
    <xf numFmtId="0" fontId="37" fillId="0" borderId="0"/>
    <xf numFmtId="0" fontId="57" fillId="0" borderId="0"/>
    <xf numFmtId="0" fontId="37" fillId="0" borderId="0"/>
    <xf numFmtId="0" fontId="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03" fillId="0" borderId="0"/>
    <xf numFmtId="0" fontId="37" fillId="0" borderId="0"/>
    <xf numFmtId="0" fontId="37" fillId="0" borderId="0"/>
    <xf numFmtId="0" fontId="37" fillId="0" borderId="0"/>
    <xf numFmtId="0" fontId="57" fillId="0" borderId="0"/>
    <xf numFmtId="0" fontId="37" fillId="0" borderId="0"/>
    <xf numFmtId="0" fontId="37" fillId="0" borderId="0"/>
    <xf numFmtId="0" fontId="37" fillId="0" borderId="0"/>
    <xf numFmtId="0" fontId="37" fillId="0" borderId="0"/>
    <xf numFmtId="0" fontId="57" fillId="0" borderId="0"/>
    <xf numFmtId="0" fontId="37" fillId="0" borderId="0"/>
    <xf numFmtId="0" fontId="37" fillId="0" borderId="0"/>
    <xf numFmtId="0" fontId="37" fillId="0" borderId="0"/>
    <xf numFmtId="0" fontId="37" fillId="0" borderId="0"/>
    <xf numFmtId="0" fontId="5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57" fillId="0" borderId="0"/>
    <xf numFmtId="0" fontId="37" fillId="0" borderId="0"/>
    <xf numFmtId="0" fontId="37" fillId="0" borderId="0"/>
    <xf numFmtId="164" fontId="147" fillId="0" borderId="0" applyFill="0" applyBorder="0" applyAlignment="0" applyProtection="0"/>
    <xf numFmtId="0" fontId="37" fillId="0" borderId="0"/>
    <xf numFmtId="164" fontId="147" fillId="0" borderId="0" applyFill="0" applyBorder="0" applyAlignment="0" applyProtection="0"/>
    <xf numFmtId="164" fontId="147" fillId="0" borderId="0" applyFill="0" applyBorder="0" applyAlignment="0" applyProtection="0"/>
    <xf numFmtId="0" fontId="37" fillId="0" borderId="0"/>
    <xf numFmtId="164" fontId="147" fillId="0" borderId="0" applyFill="0" applyBorder="0" applyAlignment="0" applyProtection="0"/>
    <xf numFmtId="164" fontId="147" fillId="0" borderId="0" applyFill="0" applyBorder="0" applyAlignment="0" applyProtection="0"/>
    <xf numFmtId="0" fontId="37" fillId="0" borderId="0"/>
    <xf numFmtId="164" fontId="147" fillId="0" borderId="0" applyFill="0" applyBorder="0" applyAlignment="0" applyProtection="0"/>
    <xf numFmtId="0" fontId="37" fillId="0" borderId="0"/>
    <xf numFmtId="0" fontId="57" fillId="0" borderId="0"/>
    <xf numFmtId="0" fontId="37" fillId="0" borderId="0"/>
    <xf numFmtId="0" fontId="2" fillId="0" borderId="0"/>
    <xf numFmtId="0" fontId="37" fillId="0" borderId="0"/>
    <xf numFmtId="164" fontId="147" fillId="0" borderId="0" applyFill="0" applyBorder="0" applyAlignment="0" applyProtection="0"/>
    <xf numFmtId="164" fontId="147" fillId="0" borderId="0" applyFill="0" applyBorder="0" applyAlignment="0" applyProtection="0"/>
    <xf numFmtId="0" fontId="37" fillId="0" borderId="0"/>
    <xf numFmtId="164" fontId="147" fillId="0" borderId="0" applyFill="0" applyBorder="0" applyAlignment="0" applyProtection="0"/>
    <xf numFmtId="0" fontId="37" fillId="0" borderId="0"/>
    <xf numFmtId="0" fontId="50" fillId="0" borderId="0"/>
    <xf numFmtId="0" fontId="37" fillId="0" borderId="0"/>
    <xf numFmtId="0" fontId="76" fillId="0" borderId="0"/>
    <xf numFmtId="0" fontId="37" fillId="0" borderId="0"/>
    <xf numFmtId="0" fontId="148" fillId="0" borderId="0"/>
    <xf numFmtId="0" fontId="37" fillId="0" borderId="0"/>
    <xf numFmtId="0" fontId="118" fillId="0" borderId="0"/>
    <xf numFmtId="0" fontId="37" fillId="0" borderId="0"/>
    <xf numFmtId="0" fontId="37" fillId="0" borderId="0"/>
    <xf numFmtId="0" fontId="2" fillId="0" borderId="0"/>
    <xf numFmtId="0" fontId="149" fillId="0" borderId="0"/>
    <xf numFmtId="0" fontId="37" fillId="0" borderId="0"/>
    <xf numFmtId="0" fontId="37" fillId="0" borderId="0"/>
    <xf numFmtId="0" fontId="2" fillId="0" borderId="0"/>
    <xf numFmtId="0" fontId="2" fillId="0" borderId="0"/>
    <xf numFmtId="0" fontId="151" fillId="0" borderId="0"/>
    <xf numFmtId="0" fontId="37" fillId="0" borderId="0"/>
    <xf numFmtId="0" fontId="37" fillId="0" borderId="0"/>
    <xf numFmtId="0" fontId="37" fillId="0" borderId="0"/>
    <xf numFmtId="0" fontId="37" fillId="0" borderId="0"/>
    <xf numFmtId="0" fontId="37"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37" fillId="0" borderId="0"/>
    <xf numFmtId="0" fontId="37" fillId="0" borderId="0"/>
    <xf numFmtId="0" fontId="2" fillId="0" borderId="0"/>
    <xf numFmtId="0" fontId="37" fillId="0" borderId="0"/>
    <xf numFmtId="0" fontId="37" fillId="0" borderId="0"/>
    <xf numFmtId="0" fontId="2" fillId="0" borderId="0"/>
    <xf numFmtId="0" fontId="2" fillId="0" borderId="0"/>
    <xf numFmtId="0" fontId="37" fillId="0" borderId="0"/>
    <xf numFmtId="0" fontId="37" fillId="0" borderId="0"/>
    <xf numFmtId="0" fontId="37" fillId="0" borderId="0"/>
    <xf numFmtId="0" fontId="1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50" fillId="0" borderId="0"/>
    <xf numFmtId="0" fontId="2" fillId="0" borderId="0"/>
    <xf numFmtId="0" fontId="2" fillId="0" borderId="0"/>
    <xf numFmtId="0" fontId="37" fillId="0" borderId="0"/>
    <xf numFmtId="0" fontId="37" fillId="0" borderId="0"/>
    <xf numFmtId="0" fontId="17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50"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37" fillId="0" borderId="0"/>
    <xf numFmtId="0" fontId="37" fillId="0" borderId="0"/>
    <xf numFmtId="0" fontId="37" fillId="0" borderId="0"/>
    <xf numFmtId="0" fontId="5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4" fontId="42" fillId="0" borderId="0">
      <alignment horizontal="justify" vertical="justify"/>
    </xf>
    <xf numFmtId="4" fontId="77" fillId="0" borderId="0">
      <alignment horizontal="justify"/>
    </xf>
    <xf numFmtId="0" fontId="57" fillId="0" borderId="0"/>
    <xf numFmtId="0" fontId="2" fillId="0" borderId="0"/>
    <xf numFmtId="0" fontId="37" fillId="0" borderId="0"/>
    <xf numFmtId="0" fontId="76" fillId="0" borderId="0"/>
    <xf numFmtId="0" fontId="2" fillId="0" borderId="0"/>
    <xf numFmtId="0" fontId="37" fillId="0" borderId="0"/>
    <xf numFmtId="0" fontId="37" fillId="0" borderId="0"/>
    <xf numFmtId="0" fontId="147" fillId="0" borderId="0"/>
    <xf numFmtId="0" fontId="39" fillId="0" borderId="0"/>
    <xf numFmtId="0" fontId="76" fillId="0" borderId="0"/>
    <xf numFmtId="0" fontId="37" fillId="0" borderId="0"/>
    <xf numFmtId="0" fontId="76" fillId="0" borderId="0"/>
    <xf numFmtId="0" fontId="37" fillId="0" borderId="0"/>
    <xf numFmtId="0" fontId="117" fillId="0" borderId="0"/>
    <xf numFmtId="0" fontId="37" fillId="0" borderId="0"/>
    <xf numFmtId="0" fontId="37" fillId="0" borderId="0"/>
    <xf numFmtId="0" fontId="37" fillId="0" borderId="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50"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123" fillId="54" borderId="16" applyNumberFormat="0" applyFont="0" applyAlignment="0" applyProtection="0"/>
    <xf numFmtId="0" fontId="37" fillId="54" borderId="16"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50"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37" fillId="54" borderId="16" applyNumberFormat="0" applyFont="0" applyAlignment="0" applyProtection="0"/>
    <xf numFmtId="0" fontId="118" fillId="104" borderId="16" applyNumberFormat="0" applyAlignment="0" applyProtection="0"/>
    <xf numFmtId="0" fontId="94" fillId="0" borderId="0"/>
    <xf numFmtId="0" fontId="94" fillId="0" borderId="0"/>
    <xf numFmtId="0" fontId="94" fillId="0" borderId="0"/>
    <xf numFmtId="0" fontId="37" fillId="0" borderId="0"/>
    <xf numFmtId="0" fontId="94" fillId="0" borderId="0">
      <alignment horizontal="left"/>
    </xf>
    <xf numFmtId="0" fontId="37" fillId="0" borderId="0"/>
    <xf numFmtId="0" fontId="37" fillId="0" borderId="0"/>
    <xf numFmtId="0" fontId="94" fillId="0" borderId="0">
      <alignment horizontal="left"/>
    </xf>
    <xf numFmtId="0" fontId="37" fillId="0" borderId="0"/>
    <xf numFmtId="0" fontId="94" fillId="0" borderId="0">
      <alignment horizontal="left"/>
    </xf>
    <xf numFmtId="0" fontId="37" fillId="0" borderId="0"/>
    <xf numFmtId="0" fontId="37" fillId="0" borderId="0"/>
    <xf numFmtId="0" fontId="37" fillId="0" borderId="0"/>
    <xf numFmtId="0" fontId="94" fillId="0" borderId="0">
      <alignment horizontal="left"/>
    </xf>
    <xf numFmtId="0" fontId="37" fillId="0" borderId="0"/>
    <xf numFmtId="0" fontId="94" fillId="0" borderId="0">
      <alignment horizontal="left"/>
    </xf>
    <xf numFmtId="0" fontId="94" fillId="0" borderId="0"/>
    <xf numFmtId="0" fontId="94" fillId="0" borderId="0">
      <alignment horizontal="left"/>
    </xf>
    <xf numFmtId="0" fontId="94" fillId="0" borderId="0"/>
    <xf numFmtId="0" fontId="94" fillId="0" borderId="0"/>
    <xf numFmtId="0" fontId="37" fillId="0" borderId="0" applyProtection="0"/>
    <xf numFmtId="0" fontId="94" fillId="0" borderId="0">
      <alignment horizontal="left"/>
    </xf>
    <xf numFmtId="0" fontId="37" fillId="0" borderId="0" applyProtection="0"/>
    <xf numFmtId="0" fontId="37" fillId="0" borderId="0"/>
    <xf numFmtId="0" fontId="37" fillId="0" borderId="0"/>
    <xf numFmtId="0" fontId="37" fillId="0" borderId="0"/>
    <xf numFmtId="0" fontId="37" fillId="0" borderId="0"/>
    <xf numFmtId="0" fontId="9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4" fillId="0" borderId="0"/>
    <xf numFmtId="0" fontId="94" fillId="0" borderId="0"/>
    <xf numFmtId="0" fontId="37" fillId="0" borderId="0"/>
    <xf numFmtId="0" fontId="102"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02" fillId="0" borderId="0"/>
    <xf numFmtId="0" fontId="37"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3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4" fillId="0" borderId="0"/>
    <xf numFmtId="0" fontId="94" fillId="0" borderId="0"/>
    <xf numFmtId="0" fontId="94" fillId="0" borderId="0"/>
    <xf numFmtId="0" fontId="102" fillId="0" borderId="0"/>
    <xf numFmtId="191" fontId="150" fillId="0" borderId="0"/>
    <xf numFmtId="0" fontId="37"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02" fillId="0" borderId="0"/>
    <xf numFmtId="0" fontId="94" fillId="0" borderId="0"/>
    <xf numFmtId="0" fontId="94" fillId="0" borderId="0"/>
    <xf numFmtId="0" fontId="94" fillId="0" borderId="0"/>
    <xf numFmtId="0" fontId="94" fillId="0" borderId="0"/>
    <xf numFmtId="0" fontId="94" fillId="0" borderId="0"/>
    <xf numFmtId="0" fontId="94" fillId="0" borderId="0"/>
    <xf numFmtId="0" fontId="37" fillId="0" borderId="0"/>
    <xf numFmtId="0" fontId="102" fillId="0" borderId="0"/>
    <xf numFmtId="0" fontId="94" fillId="0" borderId="0">
      <alignment horizontal="left"/>
    </xf>
    <xf numFmtId="0" fontId="94" fillId="0" borderId="0">
      <alignment horizontal="left"/>
    </xf>
    <xf numFmtId="0" fontId="94" fillId="0" borderId="0">
      <alignment horizontal="left"/>
    </xf>
    <xf numFmtId="0" fontId="37" fillId="0" borderId="0"/>
    <xf numFmtId="0" fontId="92" fillId="0" borderId="0"/>
    <xf numFmtId="0" fontId="92" fillId="0" borderId="0"/>
    <xf numFmtId="0" fontId="76" fillId="0" borderId="0"/>
    <xf numFmtId="0" fontId="76" fillId="0" borderId="0"/>
    <xf numFmtId="199" fontId="12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9" fillId="0" borderId="0"/>
    <xf numFmtId="0" fontId="37" fillId="0" borderId="0"/>
    <xf numFmtId="0" fontId="37" fillId="0" borderId="0"/>
    <xf numFmtId="0" fontId="2" fillId="0" borderId="0"/>
    <xf numFmtId="0" fontId="76" fillId="0" borderId="0"/>
    <xf numFmtId="0" fontId="2" fillId="0" borderId="0"/>
    <xf numFmtId="0" fontId="173" fillId="0" borderId="0"/>
    <xf numFmtId="0" fontId="103" fillId="0" borderId="0"/>
    <xf numFmtId="200" fontId="174" fillId="0" borderId="0" applyFont="0" applyFill="0" applyBorder="0" applyAlignment="0" applyProtection="0"/>
    <xf numFmtId="0" fontId="57" fillId="0" borderId="0"/>
    <xf numFmtId="164" fontId="37" fillId="0" borderId="0" applyFont="0" applyFill="0" applyBorder="0" applyAlignment="0" applyProtection="0"/>
    <xf numFmtId="0" fontId="2" fillId="0" borderId="0"/>
    <xf numFmtId="0" fontId="2" fillId="0" borderId="0"/>
    <xf numFmtId="0" fontId="37" fillId="0" borderId="0"/>
    <xf numFmtId="0" fontId="78" fillId="0" borderId="0"/>
    <xf numFmtId="0" fontId="41" fillId="0" borderId="0"/>
    <xf numFmtId="0" fontId="2" fillId="0" borderId="0"/>
    <xf numFmtId="0" fontId="2" fillId="0" borderId="0"/>
    <xf numFmtId="0" fontId="2" fillId="0" borderId="0"/>
    <xf numFmtId="0" fontId="2" fillId="0" borderId="0"/>
    <xf numFmtId="0" fontId="2" fillId="0" borderId="0"/>
    <xf numFmtId="0" fontId="42" fillId="0" borderId="0"/>
    <xf numFmtId="0" fontId="37" fillId="0" borderId="0">
      <alignment horizontal="justify" vertical="top" wrapText="1"/>
    </xf>
    <xf numFmtId="0" fontId="58" fillId="0" borderId="0"/>
    <xf numFmtId="0" fontId="17" fillId="0" borderId="0"/>
    <xf numFmtId="0" fontId="106" fillId="0" borderId="0" applyNumberFormat="0" applyFill="0" applyBorder="0" applyAlignment="0" applyProtection="0">
      <alignment vertical="top"/>
      <protection locked="0"/>
    </xf>
    <xf numFmtId="0" fontId="37" fillId="0" borderId="0"/>
    <xf numFmtId="0" fontId="57" fillId="0" borderId="0"/>
    <xf numFmtId="0" fontId="57" fillId="0" borderId="0"/>
    <xf numFmtId="0" fontId="2" fillId="0" borderId="0"/>
    <xf numFmtId="0" fontId="2" fillId="0" borderId="0"/>
    <xf numFmtId="2" fontId="175" fillId="0" borderId="0">
      <alignment horizontal="left" vertical="center" wrapText="1"/>
      <protection locked="0"/>
    </xf>
    <xf numFmtId="0" fontId="41" fillId="0" borderId="0"/>
    <xf numFmtId="0" fontId="42" fillId="0" borderId="0"/>
    <xf numFmtId="0" fontId="58" fillId="0" borderId="0"/>
    <xf numFmtId="0" fontId="177" fillId="0" borderId="0"/>
    <xf numFmtId="0" fontId="179" fillId="0" borderId="0"/>
    <xf numFmtId="0" fontId="76" fillId="0" borderId="0"/>
    <xf numFmtId="0" fontId="193" fillId="0" borderId="0"/>
    <xf numFmtId="0" fontId="3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3" fillId="0" borderId="0"/>
    <xf numFmtId="0" fontId="195" fillId="0" borderId="0" applyBorder="0" applyProtection="0"/>
    <xf numFmtId="0" fontId="37" fillId="0" borderId="0"/>
    <xf numFmtId="0" fontId="37" fillId="0" borderId="0"/>
  </cellStyleXfs>
  <cellXfs count="732">
    <xf numFmtId="0" fontId="0" fillId="0" borderId="0" xfId="0"/>
    <xf numFmtId="0" fontId="12" fillId="0" borderId="0" xfId="0" applyFont="1" applyAlignment="1">
      <alignment horizontal="left" vertical="top" wrapText="1"/>
    </xf>
    <xf numFmtId="0" fontId="12" fillId="0" borderId="0" xfId="0" applyFont="1"/>
    <xf numFmtId="7" fontId="12" fillId="0" borderId="0" xfId="0" applyNumberFormat="1" applyFont="1" applyProtection="1">
      <protection locked="0"/>
    </xf>
    <xf numFmtId="0" fontId="13"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top" wrapText="1"/>
    </xf>
    <xf numFmtId="0" fontId="13" fillId="0" borderId="0" xfId="0" applyFont="1"/>
    <xf numFmtId="0" fontId="15" fillId="0" borderId="0" xfId="0" applyFont="1" applyAlignment="1">
      <alignment horizontal="center" vertical="top"/>
    </xf>
    <xf numFmtId="7" fontId="15" fillId="0" borderId="0" xfId="0" applyNumberFormat="1" applyFont="1" applyProtection="1">
      <protection locked="0"/>
    </xf>
    <xf numFmtId="7" fontId="15" fillId="0" borderId="0" xfId="0" applyNumberFormat="1" applyFont="1"/>
    <xf numFmtId="0" fontId="15" fillId="0" borderId="0" xfId="0" applyFont="1"/>
    <xf numFmtId="0" fontId="18" fillId="0" borderId="0" xfId="0" applyFont="1" applyAlignment="1">
      <alignment horizontal="left" vertical="top" wrapText="1"/>
    </xf>
    <xf numFmtId="166" fontId="15" fillId="0" borderId="0" xfId="0" applyNumberFormat="1" applyFont="1"/>
    <xf numFmtId="165" fontId="15" fillId="0" borderId="0" xfId="0" applyNumberFormat="1" applyFont="1" applyAlignment="1">
      <alignment horizontal="center"/>
    </xf>
    <xf numFmtId="0" fontId="34" fillId="0" borderId="0" xfId="0" applyFont="1" applyAlignment="1">
      <alignment horizontal="left" vertical="top" wrapText="1"/>
    </xf>
    <xf numFmtId="0" fontId="35" fillId="0" borderId="0" xfId="0" applyFont="1" applyAlignment="1">
      <alignment horizontal="center" vertical="top"/>
    </xf>
    <xf numFmtId="0" fontId="14" fillId="0" borderId="0" xfId="0" applyFont="1" applyAlignment="1">
      <alignment horizontal="center" vertical="top"/>
    </xf>
    <xf numFmtId="165" fontId="36" fillId="0" borderId="0" xfId="0" applyNumberFormat="1" applyFont="1" applyAlignment="1">
      <alignment horizontal="center"/>
    </xf>
    <xf numFmtId="166" fontId="36" fillId="0" borderId="0" xfId="0" applyNumberFormat="1" applyFont="1"/>
    <xf numFmtId="0" fontId="15" fillId="0" borderId="0" xfId="0" applyFont="1" applyAlignment="1">
      <alignment vertical="top" wrapText="1"/>
    </xf>
    <xf numFmtId="0" fontId="18" fillId="0" borderId="0" xfId="0" applyFont="1"/>
    <xf numFmtId="0" fontId="12" fillId="0" borderId="0" xfId="0" applyFont="1" applyAlignment="1">
      <alignment horizontal="center" vertical="top"/>
    </xf>
    <xf numFmtId="0" fontId="12" fillId="0" borderId="0" xfId="0" applyFont="1" applyAlignment="1">
      <alignment horizontal="left" vertical="top"/>
    </xf>
    <xf numFmtId="0" fontId="35" fillId="0" borderId="0" xfId="0" applyFont="1" applyAlignment="1">
      <alignment horizontal="left" vertical="top" wrapText="1"/>
    </xf>
    <xf numFmtId="2" fontId="12" fillId="0" borderId="0" xfId="0" applyNumberFormat="1" applyFont="1"/>
    <xf numFmtId="49" fontId="40" fillId="0" borderId="10" xfId="51" applyNumberFormat="1" applyFont="1" applyBorder="1" applyAlignment="1">
      <alignment horizontal="center" vertical="center" wrapText="1"/>
    </xf>
    <xf numFmtId="0" fontId="40" fillId="0" borderId="10" xfId="51" applyNumberFormat="1" applyFont="1" applyBorder="1" applyAlignment="1">
      <alignment horizontal="center" vertical="center"/>
    </xf>
    <xf numFmtId="0" fontId="12" fillId="0" borderId="0" xfId="0" applyFont="1" applyAlignment="1">
      <alignment horizontal="center"/>
    </xf>
    <xf numFmtId="0" fontId="12" fillId="0" borderId="0" xfId="0" applyFont="1" applyAlignment="1">
      <alignment horizontal="left" wrapText="1"/>
    </xf>
    <xf numFmtId="0" fontId="12" fillId="0" borderId="0" xfId="0" applyFont="1" applyAlignment="1">
      <alignment horizontal="center" wrapText="1"/>
    </xf>
    <xf numFmtId="0" fontId="12" fillId="0" borderId="0" xfId="0" applyFont="1" applyAlignment="1">
      <alignment vertical="top" wrapText="1"/>
    </xf>
    <xf numFmtId="0" fontId="12"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horizontal="center" wrapText="1"/>
    </xf>
    <xf numFmtId="0" fontId="12" fillId="0" borderId="0" xfId="0" applyFont="1" applyAlignment="1">
      <alignment vertical="top"/>
    </xf>
    <xf numFmtId="0" fontId="13" fillId="0" borderId="0" xfId="0" applyFont="1" applyAlignment="1">
      <alignment vertical="top" wrapText="1"/>
    </xf>
    <xf numFmtId="49" fontId="12" fillId="0" borderId="0" xfId="0" applyNumberFormat="1" applyFont="1" applyAlignment="1">
      <alignment vertical="top" wrapText="1"/>
    </xf>
    <xf numFmtId="0" fontId="35" fillId="0" borderId="0" xfId="0" applyFont="1" applyAlignment="1">
      <alignment vertical="top" wrapText="1"/>
    </xf>
    <xf numFmtId="4" fontId="12" fillId="0" borderId="0" xfId="0" applyNumberFormat="1" applyFont="1" applyAlignment="1">
      <alignment horizontal="right"/>
    </xf>
    <xf numFmtId="4" fontId="13" fillId="0" borderId="0" xfId="0" applyNumberFormat="1" applyFont="1" applyAlignment="1">
      <alignment horizontal="right"/>
    </xf>
    <xf numFmtId="0" fontId="13" fillId="0" borderId="0" xfId="0" applyFont="1" applyAlignment="1">
      <alignment horizontal="center"/>
    </xf>
    <xf numFmtId="0" fontId="34" fillId="0" borderId="0" xfId="0" applyFont="1" applyAlignment="1">
      <alignment horizontal="center" vertical="top"/>
    </xf>
    <xf numFmtId="0" fontId="18" fillId="0" borderId="0" xfId="0" applyFont="1" applyAlignment="1">
      <alignment horizontal="center" vertical="top"/>
    </xf>
    <xf numFmtId="167" fontId="34" fillId="0" borderId="0" xfId="0" applyNumberFormat="1" applyFont="1" applyAlignment="1">
      <alignment horizontal="center" vertical="top"/>
    </xf>
    <xf numFmtId="49" fontId="34" fillId="0" borderId="0" xfId="0" applyNumberFormat="1" applyFont="1" applyAlignment="1">
      <alignment horizontal="center" vertical="top"/>
    </xf>
    <xf numFmtId="0" fontId="18" fillId="0" borderId="0" xfId="0" applyFont="1" applyAlignment="1">
      <alignment vertical="top" wrapText="1"/>
    </xf>
    <xf numFmtId="0" fontId="34" fillId="0" borderId="0" xfId="0" applyFont="1" applyAlignment="1">
      <alignment vertical="top" wrapText="1"/>
    </xf>
    <xf numFmtId="49" fontId="18" fillId="0" borderId="0" xfId="0" applyNumberFormat="1" applyFont="1" applyAlignment="1">
      <alignment vertical="top" wrapText="1"/>
    </xf>
    <xf numFmtId="0" fontId="45" fillId="0" borderId="0" xfId="0" applyFont="1" applyAlignment="1">
      <alignment horizontal="center" vertical="top"/>
    </xf>
    <xf numFmtId="0" fontId="45" fillId="0" borderId="0" xfId="0" applyFont="1" applyAlignment="1">
      <alignment horizontal="left" vertical="top" wrapText="1"/>
    </xf>
    <xf numFmtId="165" fontId="13" fillId="0" borderId="0" xfId="0" applyNumberFormat="1" applyFont="1" applyAlignment="1">
      <alignment horizontal="center"/>
    </xf>
    <xf numFmtId="49" fontId="13" fillId="0" borderId="0" xfId="0" applyNumberFormat="1" applyFont="1" applyAlignment="1">
      <alignment vertical="top" wrapText="1"/>
    </xf>
    <xf numFmtId="0" fontId="38" fillId="0" borderId="0" xfId="0" applyFont="1" applyAlignment="1">
      <alignment vertical="top" wrapText="1"/>
    </xf>
    <xf numFmtId="170" fontId="12" fillId="0" borderId="0" xfId="0" applyNumberFormat="1" applyFont="1"/>
    <xf numFmtId="165" fontId="12" fillId="0" borderId="0" xfId="0" applyNumberFormat="1" applyFont="1" applyAlignment="1">
      <alignment horizontal="center"/>
    </xf>
    <xf numFmtId="4" fontId="12" fillId="0" borderId="0" xfId="90" applyFont="1" applyAlignment="1">
      <alignment horizontal="left" vertical="top" wrapText="1"/>
    </xf>
    <xf numFmtId="4" fontId="12" fillId="0" borderId="0" xfId="90" applyFont="1" applyAlignment="1">
      <alignment horizontal="center"/>
    </xf>
    <xf numFmtId="4" fontId="12" fillId="0" borderId="0" xfId="90" applyFont="1"/>
    <xf numFmtId="0" fontId="12" fillId="0" borderId="0" xfId="90" applyNumberFormat="1" applyFont="1" applyAlignment="1">
      <alignment horizontal="left" vertical="top" wrapText="1"/>
    </xf>
    <xf numFmtId="4" fontId="12" fillId="0" borderId="0" xfId="51" applyFont="1" applyAlignment="1">
      <alignment horizontal="center" wrapText="1"/>
    </xf>
    <xf numFmtId="0" fontId="54" fillId="0" borderId="0" xfId="0" applyFont="1" applyAlignment="1">
      <alignment vertical="center" wrapText="1"/>
    </xf>
    <xf numFmtId="0" fontId="55" fillId="0" borderId="0" xfId="0" applyFont="1" applyAlignment="1">
      <alignment vertical="center" wrapText="1"/>
    </xf>
    <xf numFmtId="0" fontId="35" fillId="0" borderId="10" xfId="51" applyNumberFormat="1" applyFont="1" applyBorder="1" applyAlignment="1">
      <alignment horizontal="center" vertical="center"/>
    </xf>
    <xf numFmtId="0" fontId="3" fillId="0" borderId="0" xfId="0" applyFont="1"/>
    <xf numFmtId="0" fontId="12" fillId="0" borderId="0" xfId="51" applyNumberFormat="1" applyFont="1" applyAlignment="1">
      <alignment horizontal="center" wrapText="1"/>
    </xf>
    <xf numFmtId="4" fontId="12" fillId="0" borderId="0" xfId="62" applyNumberFormat="1" applyFont="1" applyFill="1" applyAlignment="1" applyProtection="1">
      <alignment horizontal="right" wrapText="1"/>
      <protection locked="0"/>
    </xf>
    <xf numFmtId="0" fontId="17" fillId="0" borderId="0" xfId="0" applyFont="1"/>
    <xf numFmtId="0" fontId="12" fillId="0" borderId="0" xfId="89" applyFont="1" applyAlignment="1">
      <alignment horizontal="center"/>
    </xf>
    <xf numFmtId="0" fontId="12" fillId="0" borderId="0" xfId="90" applyNumberFormat="1" applyFont="1"/>
    <xf numFmtId="0" fontId="17" fillId="0" borderId="0" xfId="0" applyFont="1" applyAlignment="1">
      <alignment horizontal="left" vertical="top" wrapText="1"/>
    </xf>
    <xf numFmtId="0" fontId="12" fillId="0" borderId="0" xfId="90" applyNumberFormat="1" applyFont="1" applyAlignment="1">
      <alignment horizontal="center" wrapText="1" shrinkToFit="1"/>
    </xf>
    <xf numFmtId="170" fontId="12" fillId="0" borderId="0" xfId="62" applyNumberFormat="1" applyFont="1" applyFill="1" applyAlignment="1" applyProtection="1">
      <alignment horizontal="right"/>
    </xf>
    <xf numFmtId="0" fontId="12" fillId="0" borderId="0" xfId="90" applyNumberFormat="1" applyFont="1" applyAlignment="1">
      <alignment horizontal="center"/>
    </xf>
    <xf numFmtId="4" fontId="12" fillId="0" borderId="0" xfId="62" applyNumberFormat="1" applyFont="1" applyFill="1" applyAlignment="1" applyProtection="1">
      <alignment horizontal="right"/>
      <protection locked="0"/>
    </xf>
    <xf numFmtId="0" fontId="12" fillId="0" borderId="0" xfId="0" applyFont="1" applyProtection="1">
      <protection locked="0"/>
    </xf>
    <xf numFmtId="0" fontId="12" fillId="0" borderId="0" xfId="0" applyFont="1" applyAlignment="1" applyProtection="1">
      <alignment horizontal="left" vertical="top" wrapText="1"/>
      <protection locked="0"/>
    </xf>
    <xf numFmtId="4" fontId="12" fillId="0" borderId="0" xfId="90" applyFont="1" applyAlignment="1">
      <alignment horizontal="center" wrapText="1"/>
    </xf>
    <xf numFmtId="4" fontId="59" fillId="0" borderId="0" xfId="90" applyFont="1" applyAlignment="1">
      <alignment vertical="top" wrapText="1"/>
    </xf>
    <xf numFmtId="0" fontId="12" fillId="0" borderId="0" xfId="98" applyFont="1" applyAlignment="1">
      <alignment wrapText="1"/>
    </xf>
    <xf numFmtId="169" fontId="12" fillId="0" borderId="0" xfId="92" applyNumberFormat="1" applyFont="1" applyAlignment="1">
      <alignment horizontal="right"/>
    </xf>
    <xf numFmtId="169" fontId="12" fillId="0" borderId="0" xfId="51" applyNumberFormat="1" applyFont="1" applyAlignment="1">
      <alignment horizontal="right" wrapText="1"/>
    </xf>
    <xf numFmtId="0" fontId="12" fillId="0" borderId="0" xfId="44" applyFont="1" applyAlignment="1">
      <alignment horizontal="left" vertical="top" wrapText="1"/>
    </xf>
    <xf numFmtId="0" fontId="12" fillId="0" borderId="0" xfId="44" applyFont="1" applyAlignment="1">
      <alignment horizontal="center"/>
    </xf>
    <xf numFmtId="0" fontId="59" fillId="0" borderId="0" xfId="97" applyFont="1"/>
    <xf numFmtId="0" fontId="12" fillId="0" borderId="0" xfId="97" applyFont="1" applyAlignment="1">
      <alignment horizontal="center"/>
    </xf>
    <xf numFmtId="4" fontId="12" fillId="0" borderId="0" xfId="97" applyNumberFormat="1" applyFont="1" applyAlignment="1">
      <alignment horizontal="right"/>
    </xf>
    <xf numFmtId="7" fontId="12" fillId="0" borderId="0" xfId="0" applyNumberFormat="1" applyFont="1" applyAlignment="1">
      <alignment horizontal="left" vertical="top" wrapText="1"/>
    </xf>
    <xf numFmtId="0" fontId="12" fillId="0" borderId="0" xfId="0" applyFont="1" applyAlignment="1" applyProtection="1">
      <alignment horizontal="right"/>
      <protection locked="0"/>
    </xf>
    <xf numFmtId="0" fontId="12" fillId="0" borderId="0" xfId="99" applyFont="1" applyAlignment="1">
      <alignment horizontal="left" vertical="top" wrapText="1"/>
    </xf>
    <xf numFmtId="4" fontId="12" fillId="0" borderId="0" xfId="99" applyNumberFormat="1" applyFont="1" applyAlignment="1">
      <alignment horizontal="right" wrapText="1"/>
    </xf>
    <xf numFmtId="2" fontId="12" fillId="0" borderId="0" xfId="99" applyNumberFormat="1" applyFont="1" applyAlignment="1">
      <alignment horizontal="left" vertical="top" wrapText="1"/>
    </xf>
    <xf numFmtId="0" fontId="12" fillId="0" borderId="0" xfId="100" applyFont="1" applyAlignment="1">
      <alignment horizontal="center"/>
    </xf>
    <xf numFmtId="0" fontId="12" fillId="0" borderId="0" xfId="99" applyFont="1" applyAlignment="1">
      <alignment horizontal="center" wrapText="1"/>
    </xf>
    <xf numFmtId="0" fontId="12" fillId="0" borderId="0" xfId="104" applyFont="1" applyAlignment="1">
      <alignment horizontal="center" vertical="top" wrapText="1"/>
    </xf>
    <xf numFmtId="0" fontId="35" fillId="0" borderId="0" xfId="104" applyFont="1" applyAlignment="1">
      <alignment horizontal="left" vertical="top" wrapText="1"/>
    </xf>
    <xf numFmtId="0" fontId="35" fillId="0" borderId="0" xfId="104" applyFont="1" applyAlignment="1">
      <alignment horizontal="center" wrapText="1"/>
    </xf>
    <xf numFmtId="0" fontId="12" fillId="0" borderId="0" xfId="104" applyFont="1" applyAlignment="1">
      <alignment vertical="top" wrapText="1"/>
    </xf>
    <xf numFmtId="0" fontId="12" fillId="0" borderId="0" xfId="104" applyFont="1" applyAlignment="1">
      <alignment horizontal="left" vertical="top" wrapText="1"/>
    </xf>
    <xf numFmtId="0" fontId="12" fillId="0" borderId="0" xfId="104" applyFont="1" applyAlignment="1">
      <alignment horizontal="center" wrapText="1"/>
    </xf>
    <xf numFmtId="0" fontId="12" fillId="0" borderId="0" xfId="104" applyFont="1" applyAlignment="1">
      <alignment horizontal="center" vertical="top"/>
    </xf>
    <xf numFmtId="0" fontId="12" fillId="0" borderId="0" xfId="104" applyFont="1" applyAlignment="1">
      <alignment horizontal="left" vertical="top"/>
    </xf>
    <xf numFmtId="0" fontId="12" fillId="0" borderId="0" xfId="105" applyFont="1" applyAlignment="1">
      <alignment horizontal="left" vertical="top" wrapText="1"/>
    </xf>
    <xf numFmtId="4" fontId="12" fillId="0" borderId="0" xfId="104" applyNumberFormat="1" applyFont="1" applyAlignment="1">
      <alignment horizontal="right"/>
    </xf>
    <xf numFmtId="4" fontId="12" fillId="0" borderId="0" xfId="0" applyNumberFormat="1" applyFont="1" applyAlignment="1">
      <alignment horizontal="right" wrapText="1"/>
    </xf>
    <xf numFmtId="4" fontId="13" fillId="0" borderId="0" xfId="0" applyNumberFormat="1" applyFont="1" applyAlignment="1">
      <alignment horizontal="right" wrapText="1"/>
    </xf>
    <xf numFmtId="0" fontId="35" fillId="0" borderId="10" xfId="51" applyNumberFormat="1" applyFont="1" applyBorder="1" applyAlignment="1">
      <alignment horizontal="center" vertical="center" wrapText="1"/>
    </xf>
    <xf numFmtId="4" fontId="17" fillId="0" borderId="0" xfId="0" applyNumberFormat="1" applyFont="1" applyAlignment="1">
      <alignment horizontal="right"/>
    </xf>
    <xf numFmtId="0" fontId="35" fillId="0" borderId="10" xfId="51" applyNumberFormat="1" applyFont="1" applyBorder="1" applyAlignment="1" applyProtection="1">
      <alignment horizontal="center" vertical="center"/>
      <protection locked="0"/>
    </xf>
    <xf numFmtId="0" fontId="46" fillId="0" borderId="0" xfId="0" applyFont="1" applyAlignment="1">
      <alignment horizontal="center"/>
    </xf>
    <xf numFmtId="0" fontId="17" fillId="0" borderId="0" xfId="0" applyFont="1" applyAlignment="1">
      <alignment horizontal="center"/>
    </xf>
    <xf numFmtId="4" fontId="12" fillId="33" borderId="0" xfId="0" applyNumberFormat="1" applyFont="1" applyFill="1" applyAlignment="1">
      <alignment horizontal="right"/>
    </xf>
    <xf numFmtId="4" fontId="12" fillId="0" borderId="0" xfId="104" applyNumberFormat="1" applyFont="1" applyAlignment="1">
      <alignment horizontal="right" wrapText="1"/>
    </xf>
    <xf numFmtId="4" fontId="35" fillId="0" borderId="10" xfId="51" applyFont="1" applyBorder="1" applyAlignment="1" applyProtection="1">
      <alignment horizontal="center" vertical="center"/>
      <protection locked="0"/>
    </xf>
    <xf numFmtId="0" fontId="35" fillId="0" borderId="11" xfId="104" applyFont="1" applyBorder="1" applyAlignment="1">
      <alignment horizontal="left" vertical="top" wrapText="1"/>
    </xf>
    <xf numFmtId="0" fontId="35" fillId="0" borderId="11" xfId="104" applyFont="1" applyBorder="1" applyAlignment="1">
      <alignment horizontal="center" wrapText="1"/>
    </xf>
    <xf numFmtId="4" fontId="35" fillId="0" borderId="11" xfId="104" applyNumberFormat="1" applyFont="1" applyBorder="1" applyAlignment="1">
      <alignment horizontal="right" wrapText="1"/>
    </xf>
    <xf numFmtId="49" fontId="35" fillId="0" borderId="10" xfId="51" applyNumberFormat="1" applyFont="1" applyBorder="1" applyAlignment="1">
      <alignment horizontal="center" vertical="center" wrapText="1"/>
    </xf>
    <xf numFmtId="4" fontId="37" fillId="0" borderId="0" xfId="90" applyFont="1"/>
    <xf numFmtId="4" fontId="15" fillId="0" borderId="0" xfId="90" applyFont="1"/>
    <xf numFmtId="0" fontId="15" fillId="0" borderId="0" xfId="90" applyNumberFormat="1" applyFont="1" applyAlignment="1">
      <alignment horizontal="left" vertical="top" wrapText="1"/>
    </xf>
    <xf numFmtId="4" fontId="15" fillId="0" borderId="0" xfId="90" applyFont="1" applyAlignment="1">
      <alignment horizontal="center"/>
    </xf>
    <xf numFmtId="0" fontId="13" fillId="0" borderId="0" xfId="0" applyFont="1" applyAlignment="1">
      <alignment horizontal="center" vertical="top"/>
    </xf>
    <xf numFmtId="49" fontId="45" fillId="0" borderId="0" xfId="0" applyNumberFormat="1" applyFont="1" applyAlignment="1">
      <alignment horizontal="center" vertical="top"/>
    </xf>
    <xf numFmtId="167" fontId="35" fillId="0" borderId="0" xfId="0" applyNumberFormat="1" applyFont="1" applyAlignment="1">
      <alignment horizontal="center" vertical="top"/>
    </xf>
    <xf numFmtId="49" fontId="35" fillId="0" borderId="0" xfId="0" applyNumberFormat="1" applyFont="1" applyAlignment="1">
      <alignment horizontal="center" vertical="top"/>
    </xf>
    <xf numFmtId="0" fontId="12" fillId="0" borderId="0" xfId="0" applyFont="1" applyAlignment="1">
      <alignment horizontal="right"/>
    </xf>
    <xf numFmtId="2" fontId="12" fillId="0" borderId="0" xfId="0" applyNumberFormat="1" applyFont="1" applyAlignment="1">
      <alignment horizontal="right"/>
    </xf>
    <xf numFmtId="0" fontId="13" fillId="0" borderId="0" xfId="0" applyFont="1" applyAlignment="1">
      <alignment horizontal="left" vertical="top"/>
    </xf>
    <xf numFmtId="4" fontId="12" fillId="0" borderId="0" xfId="90" applyFont="1" applyAlignment="1">
      <alignment horizontal="right"/>
    </xf>
    <xf numFmtId="4" fontId="12" fillId="0" borderId="0" xfId="90" applyFont="1" applyAlignment="1">
      <alignment horizontal="right" wrapText="1"/>
    </xf>
    <xf numFmtId="0" fontId="47" fillId="0" borderId="0" xfId="0" applyFont="1" applyAlignment="1">
      <alignment horizontal="center" vertical="top"/>
    </xf>
    <xf numFmtId="1" fontId="35" fillId="0" borderId="0" xfId="90" applyNumberFormat="1" applyFont="1" applyAlignment="1">
      <alignment horizontal="center" vertical="top" wrapText="1"/>
    </xf>
    <xf numFmtId="49" fontId="12" fillId="0" borderId="0" xfId="90" applyNumberFormat="1" applyFont="1" applyAlignment="1">
      <alignment horizontal="center" vertical="top"/>
    </xf>
    <xf numFmtId="17" fontId="12" fillId="0" borderId="0" xfId="90" applyNumberFormat="1" applyFont="1" applyAlignment="1">
      <alignment horizontal="center" vertical="top"/>
    </xf>
    <xf numFmtId="0" fontId="12" fillId="0" borderId="0" xfId="51" applyNumberFormat="1" applyFont="1" applyAlignment="1">
      <alignment horizontal="center" vertical="top" wrapText="1"/>
    </xf>
    <xf numFmtId="4" fontId="35" fillId="0" borderId="0" xfId="90" applyFont="1" applyAlignment="1">
      <alignment horizontal="center" vertical="top"/>
    </xf>
    <xf numFmtId="1" fontId="14" fillId="0" borderId="0" xfId="90" applyNumberFormat="1" applyFont="1" applyAlignment="1">
      <alignment horizontal="center" vertical="top" wrapText="1"/>
    </xf>
    <xf numFmtId="49" fontId="12" fillId="0" borderId="0" xfId="90" applyNumberFormat="1" applyFont="1" applyAlignment="1">
      <alignment horizontal="center" vertical="top" wrapText="1"/>
    </xf>
    <xf numFmtId="49" fontId="12" fillId="0" borderId="0" xfId="51" applyNumberFormat="1" applyFont="1" applyAlignment="1">
      <alignment horizontal="center" vertical="top" wrapText="1"/>
    </xf>
    <xf numFmtId="4" fontId="12" fillId="0" borderId="0" xfId="90" applyFont="1" applyAlignment="1" applyProtection="1">
      <alignment horizontal="right" wrapText="1"/>
      <protection locked="0"/>
    </xf>
    <xf numFmtId="49" fontId="14" fillId="0" borderId="0" xfId="90" applyNumberFormat="1" applyFont="1" applyAlignment="1">
      <alignment horizontal="center" vertical="top"/>
    </xf>
    <xf numFmtId="0" fontId="40" fillId="0" borderId="10" xfId="51" applyNumberFormat="1" applyFont="1" applyBorder="1" applyAlignment="1">
      <alignment horizontal="center" vertical="center" wrapText="1"/>
    </xf>
    <xf numFmtId="0" fontId="14" fillId="0" borderId="0" xfId="90" applyNumberFormat="1" applyFont="1" applyAlignment="1">
      <alignment horizontal="left" vertical="top" wrapText="1"/>
    </xf>
    <xf numFmtId="0" fontId="15" fillId="0" borderId="0" xfId="90" applyNumberFormat="1" applyFont="1" applyAlignment="1" applyProtection="1">
      <alignment horizontal="left" vertical="top" wrapText="1"/>
      <protection locked="0"/>
    </xf>
    <xf numFmtId="4" fontId="15" fillId="0" borderId="0" xfId="90" applyFont="1" applyAlignment="1">
      <alignment horizontal="right"/>
    </xf>
    <xf numFmtId="4" fontId="15" fillId="0" borderId="0" xfId="90" applyFont="1" applyAlignment="1">
      <alignment horizontal="right" wrapText="1"/>
    </xf>
    <xf numFmtId="4" fontId="40" fillId="0" borderId="10" xfId="51" applyFont="1" applyBorder="1" applyAlignment="1" applyProtection="1">
      <alignment horizontal="center" vertical="center"/>
      <protection locked="0"/>
    </xf>
    <xf numFmtId="0" fontId="12" fillId="0" borderId="0" xfId="121" applyFont="1" applyAlignment="1">
      <alignment horizontal="center" vertical="top"/>
    </xf>
    <xf numFmtId="0" fontId="12" fillId="0" borderId="0" xfId="90" applyNumberFormat="1" applyFont="1" applyAlignment="1" applyProtection="1">
      <alignment horizontal="left" vertical="top" wrapText="1"/>
      <protection locked="0"/>
    </xf>
    <xf numFmtId="2" fontId="12" fillId="0" borderId="0" xfId="44" applyNumberFormat="1" applyFont="1" applyAlignment="1">
      <alignment horizontal="right" wrapText="1"/>
    </xf>
    <xf numFmtId="0" fontId="17" fillId="0" borderId="0" xfId="0" applyFont="1" applyAlignment="1">
      <alignment horizontal="left" vertical="top"/>
    </xf>
    <xf numFmtId="167" fontId="12" fillId="0" borderId="0" xfId="99" applyNumberFormat="1" applyFont="1" applyAlignment="1">
      <alignment horizontal="center" vertical="top"/>
    </xf>
    <xf numFmtId="49" fontId="35" fillId="0" borderId="0" xfId="90" applyNumberFormat="1" applyFont="1" applyAlignment="1">
      <alignment horizontal="center" vertical="top" wrapText="1"/>
    </xf>
    <xf numFmtId="4" fontId="12" fillId="0" borderId="0" xfId="51" applyFont="1" applyAlignment="1" applyProtection="1">
      <alignment horizontal="right" wrapText="1"/>
      <protection locked="0"/>
    </xf>
    <xf numFmtId="4" fontId="12" fillId="0" borderId="0" xfId="90" applyFont="1" applyAlignment="1">
      <alignment horizontal="center" vertical="top"/>
    </xf>
    <xf numFmtId="4" fontId="35" fillId="0" borderId="0" xfId="90" applyFont="1" applyAlignment="1">
      <alignment horizontal="center" vertical="top" wrapText="1"/>
    </xf>
    <xf numFmtId="172" fontId="35" fillId="0" borderId="10" xfId="51" applyNumberFormat="1" applyFont="1" applyBorder="1" applyAlignment="1" applyProtection="1">
      <alignment horizontal="center" vertical="center"/>
      <protection locked="0"/>
    </xf>
    <xf numFmtId="172" fontId="35" fillId="0" borderId="10" xfId="51" applyNumberFormat="1" applyFont="1" applyBorder="1" applyAlignment="1">
      <alignment horizontal="center" vertical="center"/>
    </xf>
    <xf numFmtId="172" fontId="13" fillId="0" borderId="0" xfId="0" applyNumberFormat="1" applyFont="1" applyAlignment="1" applyProtection="1">
      <alignment horizontal="right"/>
      <protection locked="0"/>
    </xf>
    <xf numFmtId="172" fontId="13" fillId="0" borderId="0" xfId="0" applyNumberFormat="1" applyFont="1" applyAlignment="1">
      <alignment horizontal="right"/>
    </xf>
    <xf numFmtId="172" fontId="12" fillId="0" borderId="0" xfId="0" applyNumberFormat="1" applyFont="1" applyAlignment="1" applyProtection="1">
      <alignment horizontal="right"/>
      <protection locked="0"/>
    </xf>
    <xf numFmtId="172" fontId="12" fillId="0" borderId="0" xfId="0" applyNumberFormat="1" applyFont="1" applyAlignment="1">
      <alignment horizontal="right"/>
    </xf>
    <xf numFmtId="172" fontId="17" fillId="0" borderId="0" xfId="0" applyNumberFormat="1" applyFont="1" applyAlignment="1">
      <alignment horizontal="right"/>
    </xf>
    <xf numFmtId="172" fontId="12" fillId="0" borderId="0" xfId="0" applyNumberFormat="1" applyFont="1" applyAlignment="1">
      <alignment horizontal="right" wrapText="1"/>
    </xf>
    <xf numFmtId="0" fontId="12" fillId="34" borderId="0" xfId="0" applyFont="1" applyFill="1" applyAlignment="1">
      <alignment horizontal="left" vertical="top" wrapText="1"/>
    </xf>
    <xf numFmtId="172" fontId="12" fillId="0" borderId="0" xfId="0" applyNumberFormat="1" applyFont="1" applyAlignment="1" applyProtection="1">
      <alignment horizontal="right" wrapText="1"/>
      <protection locked="0"/>
    </xf>
    <xf numFmtId="172" fontId="12" fillId="0" borderId="0" xfId="90" applyNumberFormat="1" applyFont="1" applyAlignment="1" applyProtection="1">
      <alignment horizontal="right"/>
      <protection locked="0"/>
    </xf>
    <xf numFmtId="172" fontId="12" fillId="0" borderId="0" xfId="90" applyNumberFormat="1" applyFont="1" applyAlignment="1">
      <alignment horizontal="right"/>
    </xf>
    <xf numFmtId="172" fontId="12" fillId="0" borderId="0" xfId="51" applyNumberFormat="1" applyFont="1" applyAlignment="1">
      <alignment horizontal="right" wrapText="1"/>
    </xf>
    <xf numFmtId="4" fontId="12" fillId="0" borderId="0" xfId="0" applyNumberFormat="1" applyFont="1" applyAlignment="1" applyProtection="1">
      <alignment horizontal="right" wrapText="1"/>
      <protection locked="0"/>
    </xf>
    <xf numFmtId="0" fontId="35" fillId="0" borderId="11" xfId="0" applyFont="1" applyBorder="1" applyAlignment="1">
      <alignment horizontal="center" vertical="top"/>
    </xf>
    <xf numFmtId="0" fontId="35" fillId="0" borderId="11" xfId="0" applyFont="1" applyBorder="1" applyAlignment="1">
      <alignment horizontal="left" vertical="top" wrapText="1"/>
    </xf>
    <xf numFmtId="0" fontId="12" fillId="0" borderId="11" xfId="0" applyFont="1" applyBorder="1" applyAlignment="1">
      <alignment horizontal="center"/>
    </xf>
    <xf numFmtId="4" fontId="12" fillId="0" borderId="11" xfId="0" applyNumberFormat="1" applyFont="1" applyBorder="1" applyAlignment="1">
      <alignment horizontal="right"/>
    </xf>
    <xf numFmtId="172" fontId="12" fillId="0" borderId="11" xfId="0" applyNumberFormat="1" applyFont="1" applyBorder="1" applyAlignment="1" applyProtection="1">
      <alignment horizontal="right"/>
      <protection locked="0"/>
    </xf>
    <xf numFmtId="172" fontId="35" fillId="0" borderId="11" xfId="0" applyNumberFormat="1" applyFont="1" applyBorder="1" applyAlignment="1">
      <alignment horizontal="right"/>
    </xf>
    <xf numFmtId="173" fontId="12" fillId="0" borderId="0" xfId="90" applyNumberFormat="1" applyFont="1" applyAlignment="1">
      <alignment horizontal="right" wrapText="1"/>
    </xf>
    <xf numFmtId="173" fontId="12" fillId="0" borderId="0" xfId="90" applyNumberFormat="1" applyFont="1" applyAlignment="1">
      <alignment horizontal="right"/>
    </xf>
    <xf numFmtId="173" fontId="13" fillId="0" borderId="0" xfId="0" applyNumberFormat="1" applyFont="1" applyAlignment="1" applyProtection="1">
      <alignment horizontal="right"/>
      <protection locked="0"/>
    </xf>
    <xf numFmtId="173" fontId="13" fillId="0" borderId="0" xfId="0" applyNumberFormat="1" applyFont="1" applyAlignment="1">
      <alignment horizontal="right"/>
    </xf>
    <xf numFmtId="173" fontId="12" fillId="0" borderId="0" xfId="0" applyNumberFormat="1" applyFont="1" applyAlignment="1" applyProtection="1">
      <alignment horizontal="right"/>
      <protection locked="0"/>
    </xf>
    <xf numFmtId="173" fontId="12" fillId="0" borderId="0" xfId="0" applyNumberFormat="1" applyFont="1" applyAlignment="1">
      <alignment horizontal="right"/>
    </xf>
    <xf numFmtId="173" fontId="12" fillId="0" borderId="0" xfId="0" applyNumberFormat="1" applyFont="1" applyAlignment="1">
      <alignment horizontal="right" wrapText="1"/>
    </xf>
    <xf numFmtId="173" fontId="12" fillId="33" borderId="0" xfId="0" applyNumberFormat="1" applyFont="1" applyFill="1" applyAlignment="1">
      <alignment horizontal="right"/>
    </xf>
    <xf numFmtId="173" fontId="35" fillId="0" borderId="10" xfId="51" applyNumberFormat="1" applyFont="1" applyBorder="1" applyAlignment="1" applyProtection="1">
      <alignment horizontal="center" vertical="center"/>
      <protection locked="0"/>
    </xf>
    <xf numFmtId="173" fontId="35" fillId="0" borderId="10" xfId="51" applyNumberFormat="1" applyFont="1" applyBorder="1" applyAlignment="1">
      <alignment horizontal="center" vertical="center"/>
    </xf>
    <xf numFmtId="172" fontId="12" fillId="0" borderId="0" xfId="62" applyNumberFormat="1" applyFont="1" applyFill="1" applyAlignment="1">
      <alignment horizontal="right" wrapText="1"/>
    </xf>
    <xf numFmtId="0" fontId="12" fillId="0" borderId="11" xfId="0" applyFont="1" applyBorder="1"/>
    <xf numFmtId="172" fontId="12" fillId="0" borderId="0" xfId="90" applyNumberFormat="1" applyFont="1" applyAlignment="1">
      <alignment horizontal="right" wrapText="1"/>
    </xf>
    <xf numFmtId="172" fontId="12" fillId="0" borderId="11" xfId="0" applyNumberFormat="1" applyFont="1" applyBorder="1" applyAlignment="1">
      <alignment horizontal="right"/>
    </xf>
    <xf numFmtId="173" fontId="12" fillId="0" borderId="11" xfId="0" applyNumberFormat="1" applyFont="1" applyBorder="1" applyAlignment="1" applyProtection="1">
      <alignment horizontal="right"/>
      <protection locked="0"/>
    </xf>
    <xf numFmtId="173" fontId="35" fillId="0" borderId="11" xfId="0" applyNumberFormat="1" applyFont="1" applyBorder="1" applyAlignment="1">
      <alignment horizontal="right"/>
    </xf>
    <xf numFmtId="172" fontId="40" fillId="0" borderId="10" xfId="51" applyNumberFormat="1" applyFont="1" applyBorder="1" applyAlignment="1" applyProtection="1">
      <alignment horizontal="center" vertical="center"/>
      <protection locked="0"/>
    </xf>
    <xf numFmtId="172" fontId="40" fillId="0" borderId="10" xfId="51" applyNumberFormat="1" applyFont="1" applyBorder="1" applyAlignment="1">
      <alignment horizontal="center" vertical="center"/>
    </xf>
    <xf numFmtId="172" fontId="12" fillId="0" borderId="0" xfId="91" applyNumberFormat="1" applyFont="1" applyAlignment="1" applyProtection="1">
      <alignment horizontal="right"/>
      <protection locked="0"/>
    </xf>
    <xf numFmtId="172" fontId="15" fillId="0" borderId="0" xfId="90" applyNumberFormat="1" applyFont="1" applyAlignment="1">
      <alignment horizontal="right"/>
    </xf>
    <xf numFmtId="172" fontId="15" fillId="0" borderId="0" xfId="90" applyNumberFormat="1" applyFont="1" applyAlignment="1">
      <alignment horizontal="right" wrapText="1"/>
    </xf>
    <xf numFmtId="172" fontId="12" fillId="0" borderId="0" xfId="62" applyNumberFormat="1" applyFont="1" applyFill="1" applyAlignment="1" applyProtection="1">
      <alignment horizontal="right"/>
    </xf>
    <xf numFmtId="172" fontId="12" fillId="0" borderId="0" xfId="62" applyNumberFormat="1" applyFont="1" applyFill="1" applyAlignment="1">
      <alignment horizontal="right"/>
    </xf>
    <xf numFmtId="173" fontId="12" fillId="0" borderId="0" xfId="0" applyNumberFormat="1" applyFont="1" applyAlignment="1" applyProtection="1">
      <alignment horizontal="right" wrapText="1"/>
      <protection locked="0"/>
    </xf>
    <xf numFmtId="0" fontId="12" fillId="0" borderId="11" xfId="0" applyFont="1" applyBorder="1" applyAlignment="1">
      <alignment horizontal="right"/>
    </xf>
    <xf numFmtId="173" fontId="12" fillId="0" borderId="11" xfId="0" applyNumberFormat="1" applyFont="1" applyBorder="1" applyAlignment="1">
      <alignment horizontal="right"/>
    </xf>
    <xf numFmtId="173" fontId="12" fillId="0" borderId="0" xfId="97" applyNumberFormat="1" applyFont="1" applyAlignment="1" applyProtection="1">
      <alignment horizontal="right"/>
      <protection locked="0"/>
    </xf>
    <xf numFmtId="173" fontId="35" fillId="0" borderId="10" xfId="91" applyNumberFormat="1" applyFont="1" applyBorder="1" applyAlignment="1" applyProtection="1">
      <alignment horizontal="center" vertical="center"/>
      <protection locked="0"/>
    </xf>
    <xf numFmtId="173" fontId="35" fillId="0" borderId="10" xfId="91" applyNumberFormat="1" applyFont="1" applyBorder="1" applyAlignment="1">
      <alignment horizontal="center" vertical="center"/>
    </xf>
    <xf numFmtId="173" fontId="13" fillId="0" borderId="0" xfId="91" applyNumberFormat="1" applyFont="1" applyAlignment="1" applyProtection="1">
      <alignment horizontal="right"/>
      <protection locked="0"/>
    </xf>
    <xf numFmtId="173" fontId="13" fillId="0" borderId="0" xfId="91" applyNumberFormat="1" applyFont="1" applyAlignment="1">
      <alignment horizontal="right"/>
    </xf>
    <xf numFmtId="173" fontId="13" fillId="0" borderId="0" xfId="0" applyNumberFormat="1" applyFont="1" applyAlignment="1">
      <alignment horizontal="right" wrapText="1"/>
    </xf>
    <xf numFmtId="173" fontId="12" fillId="0" borderId="0" xfId="91" applyNumberFormat="1" applyFont="1" applyAlignment="1" applyProtection="1">
      <alignment horizontal="right"/>
      <protection locked="0"/>
    </xf>
    <xf numFmtId="173" fontId="12" fillId="0" borderId="0" xfId="91" applyNumberFormat="1" applyFont="1" applyAlignment="1">
      <alignment horizontal="right"/>
    </xf>
    <xf numFmtId="173" fontId="17" fillId="0" borderId="0" xfId="91" applyNumberFormat="1" applyFont="1" applyAlignment="1">
      <alignment horizontal="right"/>
    </xf>
    <xf numFmtId="173" fontId="12" fillId="0" borderId="11" xfId="91" applyNumberFormat="1" applyFont="1" applyBorder="1" applyAlignment="1" applyProtection="1">
      <alignment horizontal="right"/>
      <protection locked="0"/>
    </xf>
    <xf numFmtId="173" fontId="35" fillId="0" borderId="11" xfId="91" applyNumberFormat="1" applyFont="1" applyBorder="1" applyAlignment="1">
      <alignment horizontal="right"/>
    </xf>
    <xf numFmtId="173" fontId="12" fillId="0" borderId="0" xfId="99" applyNumberFormat="1" applyFont="1" applyAlignment="1">
      <alignment horizontal="right" wrapText="1"/>
    </xf>
    <xf numFmtId="173" fontId="12" fillId="0" borderId="0" xfId="51" applyNumberFormat="1" applyFont="1" applyAlignment="1">
      <alignment horizontal="right" wrapText="1"/>
    </xf>
    <xf numFmtId="173" fontId="12" fillId="0" borderId="0" xfId="90" applyNumberFormat="1" applyFont="1" applyAlignment="1" applyProtection="1">
      <alignment horizontal="right" wrapText="1"/>
      <protection locked="0"/>
    </xf>
    <xf numFmtId="173" fontId="46" fillId="0" borderId="0" xfId="0" applyNumberFormat="1" applyFont="1" applyAlignment="1" applyProtection="1">
      <alignment horizontal="right"/>
      <protection locked="0"/>
    </xf>
    <xf numFmtId="0" fontId="35" fillId="0" borderId="11" xfId="0" applyFont="1" applyBorder="1" applyAlignment="1">
      <alignment horizontal="center"/>
    </xf>
    <xf numFmtId="4" fontId="35" fillId="0" borderId="11" xfId="0" applyNumberFormat="1" applyFont="1" applyBorder="1" applyAlignment="1">
      <alignment horizontal="right"/>
    </xf>
    <xf numFmtId="173" fontId="12" fillId="0" borderId="0" xfId="104" applyNumberFormat="1" applyFont="1" applyAlignment="1">
      <alignment horizontal="right" wrapText="1"/>
    </xf>
    <xf numFmtId="173" fontId="12" fillId="0" borderId="0" xfId="104" applyNumberFormat="1" applyFont="1" applyAlignment="1">
      <alignment horizontal="right"/>
    </xf>
    <xf numFmtId="173" fontId="12" fillId="0" borderId="0" xfId="104" applyNumberFormat="1" applyFont="1" applyAlignment="1" applyProtection="1">
      <alignment horizontal="right"/>
      <protection locked="0"/>
    </xf>
    <xf numFmtId="173" fontId="35" fillId="0" borderId="11" xfId="104" applyNumberFormat="1" applyFont="1" applyBorder="1" applyAlignment="1">
      <alignment horizontal="right" wrapText="1"/>
    </xf>
    <xf numFmtId="0" fontId="35" fillId="0" borderId="0" xfId="104" applyFont="1" applyAlignment="1">
      <alignment horizontal="center" vertical="top" wrapText="1"/>
    </xf>
    <xf numFmtId="0" fontId="35" fillId="0" borderId="11" xfId="104" applyFont="1" applyBorder="1" applyAlignment="1">
      <alignment horizontal="center" vertical="top" wrapText="1"/>
    </xf>
    <xf numFmtId="0" fontId="176" fillId="0" borderId="0" xfId="1" applyFont="1"/>
    <xf numFmtId="0" fontId="176" fillId="0" borderId="0" xfId="1" applyFont="1" applyAlignment="1">
      <alignment horizontal="center"/>
    </xf>
    <xf numFmtId="4" fontId="176" fillId="0" borderId="0" xfId="1" applyNumberFormat="1" applyFont="1" applyAlignment="1">
      <alignment horizontal="right"/>
    </xf>
    <xf numFmtId="4" fontId="176" fillId="0" borderId="0" xfId="1" applyNumberFormat="1" applyFont="1" applyAlignment="1" applyProtection="1">
      <alignment horizontal="right"/>
      <protection locked="0"/>
    </xf>
    <xf numFmtId="0" fontId="16" fillId="0" borderId="0" xfId="0" applyFont="1" applyAlignment="1">
      <alignment horizontal="center" vertical="top"/>
    </xf>
    <xf numFmtId="0" fontId="15" fillId="0" borderId="0" xfId="0" applyFont="1" applyAlignment="1">
      <alignment vertical="top"/>
    </xf>
    <xf numFmtId="0" fontId="15" fillId="0" borderId="0" xfId="0" applyFont="1" applyAlignment="1">
      <alignment wrapText="1"/>
    </xf>
    <xf numFmtId="0" fontId="180" fillId="0" borderId="0" xfId="0" applyFont="1"/>
    <xf numFmtId="0" fontId="40" fillId="0" borderId="0" xfId="0" applyFont="1" applyAlignment="1">
      <alignment horizontal="left" vertical="top"/>
    </xf>
    <xf numFmtId="0" fontId="37" fillId="0" borderId="0" xfId="0" applyFont="1" applyAlignment="1">
      <alignment horizontal="center"/>
    </xf>
    <xf numFmtId="0" fontId="180" fillId="0" borderId="0" xfId="0" applyFont="1" applyAlignment="1">
      <alignment horizontal="right"/>
    </xf>
    <xf numFmtId="0" fontId="37" fillId="0" borderId="0" xfId="0" applyFont="1" applyAlignment="1">
      <alignment horizontal="right"/>
    </xf>
    <xf numFmtId="169" fontId="37" fillId="0" borderId="0" xfId="0" applyNumberFormat="1" applyFont="1" applyAlignment="1">
      <alignment horizontal="right"/>
    </xf>
    <xf numFmtId="0" fontId="37" fillId="0" borderId="0" xfId="0" applyFont="1" applyAlignment="1">
      <alignment horizontal="left" vertical="top"/>
    </xf>
    <xf numFmtId="0" fontId="37" fillId="0" borderId="0" xfId="0" applyFont="1"/>
    <xf numFmtId="0" fontId="37" fillId="0" borderId="0" xfId="0" applyFont="1" applyAlignment="1">
      <alignment horizontal="left" vertical="top" wrapText="1"/>
    </xf>
    <xf numFmtId="49" fontId="37" fillId="0" borderId="0" xfId="0" applyNumberFormat="1" applyFont="1" applyAlignment="1">
      <alignment horizontal="left" vertical="top"/>
    </xf>
    <xf numFmtId="49" fontId="37" fillId="0" borderId="0" xfId="0" applyNumberFormat="1" applyFont="1" applyAlignment="1">
      <alignment horizontal="center"/>
    </xf>
    <xf numFmtId="49" fontId="180" fillId="0" borderId="0" xfId="0" applyNumberFormat="1" applyFont="1" applyAlignment="1">
      <alignment vertical="top" wrapText="1"/>
    </xf>
    <xf numFmtId="0" fontId="37" fillId="0" borderId="0" xfId="0" applyFont="1" applyAlignment="1">
      <alignment horizontal="center" wrapText="1"/>
    </xf>
    <xf numFmtId="0" fontId="180" fillId="0" borderId="0" xfId="0" applyFont="1" applyAlignment="1">
      <alignment horizontal="right" wrapText="1"/>
    </xf>
    <xf numFmtId="169" fontId="37" fillId="0" borderId="0" xfId="0" applyNumberFormat="1" applyFont="1" applyAlignment="1">
      <alignment horizontal="right" wrapText="1"/>
    </xf>
    <xf numFmtId="0" fontId="180" fillId="0" borderId="0" xfId="3987" applyFont="1" applyAlignment="1">
      <alignment vertical="top"/>
    </xf>
    <xf numFmtId="169" fontId="37" fillId="0" borderId="0" xfId="3987" applyNumberFormat="1" applyAlignment="1">
      <alignment horizontal="right"/>
    </xf>
    <xf numFmtId="4" fontId="37" fillId="0" borderId="0" xfId="3987" applyNumberFormat="1" applyAlignment="1">
      <alignment horizontal="right"/>
    </xf>
    <xf numFmtId="17" fontId="180" fillId="0" borderId="0" xfId="3987" applyNumberFormat="1" applyFont="1" applyAlignment="1">
      <alignment vertical="top"/>
    </xf>
    <xf numFmtId="0" fontId="180" fillId="0" borderId="0" xfId="0" applyFont="1" applyAlignment="1">
      <alignment horizontal="right" vertical="center"/>
    </xf>
    <xf numFmtId="0" fontId="37" fillId="0" borderId="0" xfId="0" applyFont="1" applyAlignment="1">
      <alignment vertical="center"/>
    </xf>
    <xf numFmtId="0" fontId="41" fillId="0" borderId="0" xfId="0" applyFont="1" applyAlignment="1">
      <alignment horizontal="left" vertical="top" wrapText="1"/>
    </xf>
    <xf numFmtId="169" fontId="41" fillId="0" borderId="0" xfId="0" applyNumberFormat="1" applyFont="1" applyAlignment="1">
      <alignment horizontal="right"/>
    </xf>
    <xf numFmtId="0" fontId="41" fillId="0" borderId="0" xfId="0" applyFont="1"/>
    <xf numFmtId="173" fontId="46" fillId="0" borderId="0" xfId="0" applyNumberFormat="1" applyFont="1" applyAlignment="1">
      <alignment horizontal="right"/>
    </xf>
    <xf numFmtId="0" fontId="12" fillId="0" borderId="0" xfId="0" quotePrefix="1" applyFont="1" applyAlignment="1">
      <alignment horizontal="left" vertical="top" wrapText="1"/>
    </xf>
    <xf numFmtId="0" fontId="14" fillId="0" borderId="0" xfId="0" applyFont="1" applyAlignment="1">
      <alignment horizontal="center" vertical="top" wrapText="1"/>
    </xf>
    <xf numFmtId="2" fontId="46" fillId="0" borderId="0" xfId="0" applyNumberFormat="1" applyFont="1" applyAlignment="1">
      <alignment horizontal="right"/>
    </xf>
    <xf numFmtId="0" fontId="46" fillId="0" borderId="0" xfId="0" applyFont="1" applyAlignment="1">
      <alignment horizontal="center" wrapText="1"/>
    </xf>
    <xf numFmtId="4" fontId="46" fillId="0" borderId="0" xfId="0" applyNumberFormat="1" applyFont="1" applyAlignment="1">
      <alignment horizontal="right" wrapText="1"/>
    </xf>
    <xf numFmtId="173" fontId="46" fillId="0" borderId="0" xfId="0" applyNumberFormat="1" applyFont="1" applyAlignment="1">
      <alignment horizontal="right" wrapText="1"/>
    </xf>
    <xf numFmtId="0" fontId="77" fillId="0" borderId="0" xfId="0" applyFont="1" applyAlignment="1">
      <alignment horizontal="left" vertical="top" wrapText="1"/>
    </xf>
    <xf numFmtId="0" fontId="77" fillId="0" borderId="0" xfId="0" applyFont="1" applyAlignment="1">
      <alignment horizontal="center"/>
    </xf>
    <xf numFmtId="4" fontId="77" fillId="0" borderId="0" xfId="0" applyNumberFormat="1" applyFont="1" applyAlignment="1">
      <alignment horizontal="right"/>
    </xf>
    <xf numFmtId="173" fontId="77" fillId="0" borderId="0" xfId="91" applyNumberFormat="1" applyFont="1" applyAlignment="1" applyProtection="1">
      <alignment horizontal="right"/>
      <protection locked="0"/>
    </xf>
    <xf numFmtId="173" fontId="77" fillId="0" borderId="0" xfId="91" applyNumberFormat="1" applyFont="1" applyAlignment="1">
      <alignment horizontal="right"/>
    </xf>
    <xf numFmtId="0" fontId="183" fillId="0" borderId="0" xfId="0" applyFont="1"/>
    <xf numFmtId="0" fontId="183" fillId="0" borderId="0" xfId="0" applyFont="1" applyAlignment="1">
      <alignment horizontal="center" wrapText="1"/>
    </xf>
    <xf numFmtId="4" fontId="183" fillId="0" borderId="0" xfId="0" applyNumberFormat="1" applyFont="1" applyAlignment="1">
      <alignment horizontal="right" wrapText="1"/>
    </xf>
    <xf numFmtId="173" fontId="183" fillId="0" borderId="0" xfId="0" applyNumberFormat="1" applyFont="1" applyAlignment="1">
      <alignment horizontal="right" wrapText="1"/>
    </xf>
    <xf numFmtId="0" fontId="183" fillId="0" borderId="0" xfId="0" applyFont="1" applyAlignment="1">
      <alignment horizontal="left" vertical="top" wrapText="1"/>
    </xf>
    <xf numFmtId="7" fontId="183" fillId="0" borderId="0" xfId="0" applyNumberFormat="1" applyFont="1" applyAlignment="1">
      <alignment horizontal="left" vertical="top" wrapText="1"/>
    </xf>
    <xf numFmtId="4" fontId="183" fillId="0" borderId="0" xfId="0" applyNumberFormat="1" applyFont="1" applyAlignment="1" applyProtection="1">
      <alignment horizontal="right" wrapText="1"/>
      <protection locked="0"/>
    </xf>
    <xf numFmtId="173" fontId="183" fillId="0" borderId="0" xfId="0" applyNumberFormat="1" applyFont="1" applyAlignment="1" applyProtection="1">
      <alignment horizontal="right"/>
      <protection locked="0"/>
    </xf>
    <xf numFmtId="0" fontId="183" fillId="0" borderId="0" xfId="98" applyFont="1" applyAlignment="1">
      <alignment wrapText="1"/>
    </xf>
    <xf numFmtId="0" fontId="184" fillId="0" borderId="0" xfId="0" applyFont="1" applyAlignment="1">
      <alignment horizontal="left" vertical="top" wrapText="1"/>
    </xf>
    <xf numFmtId="0" fontId="183" fillId="0" borderId="0" xfId="0" applyFont="1" applyAlignment="1">
      <alignment horizontal="center"/>
    </xf>
    <xf numFmtId="4" fontId="183" fillId="0" borderId="0" xfId="0" applyNumberFormat="1" applyFont="1" applyAlignment="1">
      <alignment horizontal="right"/>
    </xf>
    <xf numFmtId="173" fontId="183" fillId="0" borderId="0" xfId="91" applyNumberFormat="1" applyFont="1" applyAlignment="1" applyProtection="1">
      <alignment horizontal="right"/>
      <protection locked="0"/>
    </xf>
    <xf numFmtId="173" fontId="183" fillId="0" borderId="0" xfId="91" applyNumberFormat="1" applyFont="1" applyAlignment="1">
      <alignment horizontal="right"/>
    </xf>
    <xf numFmtId="0" fontId="77" fillId="0" borderId="0" xfId="0" applyFont="1" applyAlignment="1">
      <alignment horizontal="left" vertical="top"/>
    </xf>
    <xf numFmtId="0" fontId="14" fillId="0" borderId="10" xfId="51" applyNumberFormat="1" applyFont="1" applyBorder="1" applyAlignment="1">
      <alignment horizontal="center" vertical="center" wrapText="1"/>
    </xf>
    <xf numFmtId="0" fontId="185" fillId="0" borderId="0" xfId="0" applyFont="1" applyAlignment="1">
      <alignment horizontal="center" vertical="top"/>
    </xf>
    <xf numFmtId="49" fontId="185" fillId="0" borderId="0" xfId="0" applyNumberFormat="1" applyFont="1" applyAlignment="1">
      <alignment horizontal="center" vertical="top" wrapText="1"/>
    </xf>
    <xf numFmtId="49" fontId="14" fillId="0" borderId="0" xfId="0" applyNumberFormat="1" applyFont="1" applyAlignment="1">
      <alignment horizontal="center" vertical="top" wrapText="1"/>
    </xf>
    <xf numFmtId="0" fontId="186" fillId="0" borderId="0" xfId="0" applyFont="1" applyAlignment="1">
      <alignment horizontal="center" vertical="top"/>
    </xf>
    <xf numFmtId="49" fontId="14" fillId="0" borderId="0" xfId="51" applyNumberFormat="1" applyFont="1" applyAlignment="1">
      <alignment horizontal="center" vertical="top" wrapText="1"/>
    </xf>
    <xf numFmtId="0" fontId="14" fillId="0" borderId="11" xfId="0" applyFont="1" applyBorder="1" applyAlignment="1">
      <alignment horizontal="center" vertical="top"/>
    </xf>
    <xf numFmtId="4" fontId="19" fillId="0" borderId="0" xfId="0" applyNumberFormat="1" applyFont="1" applyAlignment="1">
      <alignment horizontal="right"/>
    </xf>
    <xf numFmtId="0" fontId="12" fillId="33" borderId="0" xfId="0" applyFont="1" applyFill="1" applyAlignment="1">
      <alignment horizontal="left" vertical="top" wrapText="1"/>
    </xf>
    <xf numFmtId="16" fontId="12" fillId="0" borderId="0" xfId="0" applyNumberFormat="1" applyFont="1" applyAlignment="1">
      <alignment horizontal="left" vertical="top" wrapText="1"/>
    </xf>
    <xf numFmtId="16" fontId="35" fillId="0" borderId="0" xfId="0" applyNumberFormat="1" applyFont="1" applyAlignment="1">
      <alignment horizontal="left" vertical="top" wrapText="1"/>
    </xf>
    <xf numFmtId="0" fontId="15" fillId="0" borderId="0" xfId="0" applyFont="1" applyAlignment="1">
      <alignment horizontal="center"/>
    </xf>
    <xf numFmtId="4" fontId="15" fillId="0" borderId="0" xfId="0" applyNumberFormat="1" applyFont="1" applyAlignment="1">
      <alignment horizontal="right"/>
    </xf>
    <xf numFmtId="173" fontId="15" fillId="0" borderId="0" xfId="0" applyNumberFormat="1" applyFont="1" applyAlignment="1">
      <alignment horizontal="right"/>
    </xf>
    <xf numFmtId="0" fontId="15" fillId="0" borderId="0" xfId="0" applyFont="1" applyAlignment="1">
      <alignment horizontal="left" vertical="top"/>
    </xf>
    <xf numFmtId="0" fontId="15" fillId="0" borderId="0" xfId="0" quotePrefix="1" applyFont="1" applyAlignment="1">
      <alignment horizontal="left" vertical="top" wrapText="1"/>
    </xf>
    <xf numFmtId="0" fontId="1" fillId="0" borderId="0" xfId="0" applyFont="1" applyAlignment="1">
      <alignment wrapText="1"/>
    </xf>
    <xf numFmtId="0" fontId="14" fillId="0" borderId="10" xfId="51" applyNumberFormat="1" applyFont="1" applyBorder="1" applyAlignment="1">
      <alignment horizontal="center" vertical="center"/>
    </xf>
    <xf numFmtId="0" fontId="14" fillId="0" borderId="10" xfId="51" applyNumberFormat="1" applyFont="1" applyBorder="1" applyAlignment="1" applyProtection="1">
      <alignment horizontal="center" vertical="center"/>
      <protection locked="0"/>
    </xf>
    <xf numFmtId="170" fontId="14" fillId="0" borderId="10" xfId="51" applyNumberFormat="1" applyFont="1" applyBorder="1" applyAlignment="1" applyProtection="1">
      <alignment horizontal="center" vertical="center"/>
      <protection locked="0"/>
    </xf>
    <xf numFmtId="170" fontId="14" fillId="0" borderId="10" xfId="51" applyNumberFormat="1" applyFont="1" applyBorder="1" applyAlignment="1">
      <alignment horizontal="center" vertical="center"/>
    </xf>
    <xf numFmtId="4" fontId="15" fillId="0" borderId="0" xfId="0" applyNumberFormat="1" applyFont="1" applyAlignment="1">
      <alignment horizontal="center"/>
    </xf>
    <xf numFmtId="170" fontId="15" fillId="0" borderId="0" xfId="0" applyNumberFormat="1" applyFont="1" applyAlignment="1" applyProtection="1">
      <alignment horizontal="right"/>
      <protection locked="0"/>
    </xf>
    <xf numFmtId="170" fontId="15" fillId="0" borderId="0" xfId="0" applyNumberFormat="1" applyFont="1" applyAlignment="1">
      <alignment horizontal="right"/>
    </xf>
    <xf numFmtId="0" fontId="14" fillId="0" borderId="11" xfId="0" applyFont="1" applyBorder="1" applyAlignment="1">
      <alignment horizontal="left" vertical="top" wrapText="1"/>
    </xf>
    <xf numFmtId="0" fontId="14" fillId="0" borderId="11" xfId="0" applyFont="1" applyBorder="1" applyAlignment="1">
      <alignment horizontal="center"/>
    </xf>
    <xf numFmtId="4" fontId="14" fillId="0" borderId="11" xfId="0" applyNumberFormat="1" applyFont="1" applyBorder="1" applyAlignment="1">
      <alignment horizontal="center"/>
    </xf>
    <xf numFmtId="170" fontId="14" fillId="0" borderId="11" xfId="0" applyNumberFormat="1" applyFont="1" applyBorder="1" applyAlignment="1">
      <alignment horizontal="right"/>
    </xf>
    <xf numFmtId="170" fontId="15" fillId="0" borderId="0" xfId="0" applyNumberFormat="1" applyFont="1" applyAlignment="1">
      <alignment horizontal="center" wrapText="1"/>
    </xf>
    <xf numFmtId="170" fontId="15" fillId="0" borderId="0" xfId="0" applyNumberFormat="1" applyFont="1" applyAlignment="1">
      <alignment horizontal="center"/>
    </xf>
    <xf numFmtId="0" fontId="14" fillId="0" borderId="0" xfId="0" applyFont="1" applyAlignment="1">
      <alignment horizontal="center" wrapText="1"/>
    </xf>
    <xf numFmtId="1" fontId="14" fillId="0" borderId="0" xfId="0" applyNumberFormat="1" applyFont="1" applyAlignment="1">
      <alignment horizontal="center" wrapText="1"/>
    </xf>
    <xf numFmtId="0" fontId="14" fillId="35" borderId="0" xfId="0" applyFont="1" applyFill="1" applyAlignment="1">
      <alignment horizontal="left" vertical="top" wrapText="1"/>
    </xf>
    <xf numFmtId="4" fontId="14" fillId="35" borderId="0" xfId="0" applyNumberFormat="1" applyFont="1" applyFill="1" applyAlignment="1">
      <alignment horizontal="left" vertical="top" wrapText="1"/>
    </xf>
    <xf numFmtId="201" fontId="15" fillId="0" borderId="0" xfId="4903" applyNumberFormat="1" applyFont="1" applyAlignment="1" applyProtection="1">
      <alignment horizontal="left" vertical="top"/>
      <protection locked="0"/>
    </xf>
    <xf numFmtId="0" fontId="14" fillId="0" borderId="0" xfId="159" applyFont="1" applyAlignment="1" applyProtection="1">
      <alignment horizontal="right" vertical="top" wrapText="1"/>
      <protection locked="0"/>
    </xf>
    <xf numFmtId="1" fontId="15" fillId="0" borderId="0" xfId="389" applyNumberFormat="1" applyFont="1" applyAlignment="1" applyProtection="1">
      <alignment horizontal="center" wrapText="1"/>
      <protection locked="0"/>
    </xf>
    <xf numFmtId="4" fontId="15" fillId="0" borderId="0" xfId="389" applyNumberFormat="1" applyFont="1" applyAlignment="1" applyProtection="1">
      <alignment horizontal="right" wrapText="1"/>
      <protection locked="0"/>
    </xf>
    <xf numFmtId="0" fontId="15" fillId="0" borderId="0" xfId="389" applyFont="1" applyAlignment="1">
      <alignment horizontal="right"/>
    </xf>
    <xf numFmtId="0" fontId="15" fillId="0" borderId="0" xfId="389" applyFont="1" applyAlignment="1">
      <alignment vertical="top"/>
    </xf>
    <xf numFmtId="0" fontId="15" fillId="0" borderId="0" xfId="0" applyFont="1" applyAlignment="1">
      <alignment horizontal="center" vertical="top" wrapText="1"/>
    </xf>
    <xf numFmtId="4" fontId="15" fillId="0" borderId="0" xfId="0" applyNumberFormat="1" applyFont="1" applyAlignment="1">
      <alignment horizontal="right" vertical="top" wrapText="1"/>
    </xf>
    <xf numFmtId="4" fontId="15" fillId="0" borderId="0" xfId="0" applyNumberFormat="1" applyFont="1" applyAlignment="1">
      <alignment horizontal="left" vertical="top" wrapText="1"/>
    </xf>
    <xf numFmtId="4" fontId="14" fillId="0" borderId="0" xfId="0" applyNumberFormat="1" applyFont="1" applyAlignment="1">
      <alignment horizontal="right" vertical="top" wrapText="1"/>
    </xf>
    <xf numFmtId="4" fontId="14" fillId="0" borderId="0" xfId="0" applyNumberFormat="1" applyFont="1" applyAlignment="1">
      <alignment horizontal="left" vertical="top" wrapText="1"/>
    </xf>
    <xf numFmtId="0" fontId="14" fillId="35" borderId="0" xfId="0" applyFont="1" applyFill="1" applyAlignment="1">
      <alignment horizontal="center" vertical="top" wrapText="1"/>
    </xf>
    <xf numFmtId="4" fontId="14" fillId="35" borderId="0" xfId="0" applyNumberFormat="1" applyFont="1" applyFill="1" applyAlignment="1">
      <alignment horizontal="right" vertical="top" wrapText="1"/>
    </xf>
    <xf numFmtId="4" fontId="15" fillId="0" borderId="0" xfId="159" applyNumberFormat="1" applyFont="1" applyAlignment="1" applyProtection="1">
      <alignment horizontal="left" wrapText="1"/>
      <protection locked="0"/>
    </xf>
    <xf numFmtId="164" fontId="15" fillId="0" borderId="0" xfId="2645" applyFont="1" applyBorder="1"/>
    <xf numFmtId="43" fontId="15" fillId="0" borderId="0" xfId="389" applyNumberFormat="1" applyFont="1" applyAlignment="1">
      <alignment vertical="top"/>
    </xf>
    <xf numFmtId="4" fontId="15" fillId="35" borderId="0" xfId="0" applyNumberFormat="1" applyFont="1" applyFill="1" applyAlignment="1">
      <alignment horizontal="right" vertical="top" wrapText="1"/>
    </xf>
    <xf numFmtId="0" fontId="14" fillId="0" borderId="0" xfId="63" applyFont="1" applyAlignment="1">
      <alignment horizontal="center" vertical="top"/>
    </xf>
    <xf numFmtId="0" fontId="14" fillId="0" borderId="0" xfId="63" applyFont="1" applyAlignment="1">
      <alignment horizontal="justify" vertical="top"/>
    </xf>
    <xf numFmtId="0" fontId="15" fillId="0" borderId="0" xfId="63" applyFont="1" applyAlignment="1">
      <alignment vertical="top"/>
    </xf>
    <xf numFmtId="1" fontId="15" fillId="0" borderId="0" xfId="63" applyNumberFormat="1" applyFont="1" applyAlignment="1">
      <alignment horizontal="center" vertical="top"/>
    </xf>
    <xf numFmtId="202" fontId="15" fillId="0" borderId="0" xfId="63" applyNumberFormat="1" applyFont="1" applyAlignment="1">
      <alignment vertical="top"/>
    </xf>
    <xf numFmtId="0" fontId="14" fillId="0" borderId="0" xfId="63" applyFont="1" applyAlignment="1">
      <alignment horizontal="justify" vertical="top" wrapText="1"/>
    </xf>
    <xf numFmtId="0" fontId="15" fillId="0" borderId="0" xfId="0" applyFont="1" applyAlignment="1">
      <alignment horizontal="justify" vertical="top"/>
    </xf>
    <xf numFmtId="49" fontId="15" fillId="0" borderId="0" xfId="0" applyNumberFormat="1" applyFont="1" applyAlignment="1">
      <alignment vertical="top" wrapText="1"/>
    </xf>
    <xf numFmtId="0" fontId="15" fillId="0" borderId="0" xfId="0" applyFont="1" applyAlignment="1">
      <alignment horizontal="center" wrapText="1"/>
    </xf>
    <xf numFmtId="4" fontId="15" fillId="0" borderId="0" xfId="0" applyNumberFormat="1" applyFont="1" applyAlignment="1">
      <alignment horizontal="right" wrapText="1"/>
    </xf>
    <xf numFmtId="4" fontId="15" fillId="0" borderId="0" xfId="2645" applyNumberFormat="1" applyFont="1" applyFill="1" applyBorder="1" applyAlignment="1">
      <alignment horizontal="right" wrapText="1"/>
    </xf>
    <xf numFmtId="4" fontId="15" fillId="0" borderId="0" xfId="4903" applyNumberFormat="1" applyFont="1" applyAlignment="1" applyProtection="1">
      <alignment horizontal="right" wrapText="1"/>
      <protection locked="0"/>
    </xf>
    <xf numFmtId="0" fontId="188" fillId="0" borderId="0" xfId="0" applyFont="1" applyAlignment="1">
      <alignment horizontal="left" vertical="top" wrapText="1"/>
    </xf>
    <xf numFmtId="1" fontId="37" fillId="0" borderId="0" xfId="64" applyNumberFormat="1" applyFont="1" applyAlignment="1">
      <alignment horizontal="left" vertical="top"/>
    </xf>
    <xf numFmtId="49" fontId="37" fillId="0" borderId="0" xfId="64" applyNumberFormat="1" applyFont="1" applyAlignment="1">
      <alignment horizontal="left" vertical="top" wrapText="1"/>
    </xf>
    <xf numFmtId="49" fontId="37" fillId="0" borderId="0" xfId="64" applyNumberFormat="1" applyFont="1" applyAlignment="1">
      <alignment horizontal="left" vertical="justify" wrapText="1"/>
    </xf>
    <xf numFmtId="4" fontId="37" fillId="0" borderId="0" xfId="64" applyNumberFormat="1" applyFont="1" applyAlignment="1">
      <alignment horizontal="left" vertical="center" wrapText="1"/>
    </xf>
    <xf numFmtId="49" fontId="37" fillId="0" borderId="0" xfId="64" applyNumberFormat="1" applyFont="1" applyAlignment="1">
      <alignment horizontal="left" vertical="center" wrapText="1"/>
    </xf>
    <xf numFmtId="1" fontId="37" fillId="0" borderId="0" xfId="64" applyNumberFormat="1" applyFont="1" applyAlignment="1">
      <alignment horizontal="right" vertical="top"/>
    </xf>
    <xf numFmtId="0" fontId="191" fillId="0" borderId="0" xfId="0" applyFont="1"/>
    <xf numFmtId="49" fontId="37" fillId="0" borderId="0" xfId="64" applyNumberFormat="1" applyFont="1" applyAlignment="1">
      <alignment horizontal="left" vertical="top"/>
    </xf>
    <xf numFmtId="49" fontId="37" fillId="0" borderId="0" xfId="64" applyNumberFormat="1" applyFont="1" applyAlignment="1">
      <alignment horizontal="left" vertical="justify"/>
    </xf>
    <xf numFmtId="4" fontId="37" fillId="0" borderId="0" xfId="64" applyNumberFormat="1" applyFont="1" applyAlignment="1">
      <alignment horizontal="left" vertical="top"/>
    </xf>
    <xf numFmtId="4" fontId="37" fillId="0" borderId="0" xfId="64" applyNumberFormat="1" applyFont="1" applyAlignment="1">
      <alignment horizontal="left" vertical="center"/>
    </xf>
    <xf numFmtId="49" fontId="37" fillId="0" borderId="0" xfId="64" applyNumberFormat="1" applyFont="1" applyAlignment="1">
      <alignment horizontal="left" vertical="center"/>
    </xf>
    <xf numFmtId="4" fontId="37" fillId="0" borderId="0" xfId="64" applyNumberFormat="1" applyFont="1" applyAlignment="1">
      <alignment horizontal="left" vertical="top" wrapText="1"/>
    </xf>
    <xf numFmtId="4" fontId="37" fillId="0" borderId="0" xfId="0" applyNumberFormat="1" applyFont="1"/>
    <xf numFmtId="49" fontId="40" fillId="0" borderId="0" xfId="64" applyNumberFormat="1" applyFont="1" applyAlignment="1">
      <alignment horizontal="left" vertical="top" wrapText="1"/>
    </xf>
    <xf numFmtId="49" fontId="37" fillId="0" borderId="0" xfId="381" applyNumberFormat="1" applyFont="1" applyAlignment="1">
      <alignment horizontal="justify" vertical="top" wrapText="1"/>
    </xf>
    <xf numFmtId="0" fontId="40" fillId="0" borderId="0" xfId="3962" applyFont="1" applyProtection="1">
      <protection hidden="1"/>
    </xf>
    <xf numFmtId="49" fontId="37" fillId="0" borderId="0" xfId="381" applyNumberFormat="1" applyFont="1" applyAlignment="1">
      <alignment horizontal="justify" wrapText="1"/>
    </xf>
    <xf numFmtId="49" fontId="37" fillId="0" borderId="0" xfId="381" applyNumberFormat="1" applyFont="1" applyAlignment="1">
      <alignment horizontal="left" vertical="top" wrapText="1"/>
    </xf>
    <xf numFmtId="4" fontId="37" fillId="0" borderId="0" xfId="381" applyNumberFormat="1" applyFont="1" applyAlignment="1">
      <alignment horizontal="left" wrapText="1"/>
    </xf>
    <xf numFmtId="164" fontId="37" fillId="0" borderId="0" xfId="62" applyFont="1" applyFill="1" applyBorder="1" applyAlignment="1" applyProtection="1">
      <alignment wrapText="1"/>
    </xf>
    <xf numFmtId="4" fontId="37" fillId="0" borderId="0" xfId="62" applyNumberFormat="1" applyFont="1" applyFill="1" applyBorder="1" applyAlignment="1" applyProtection="1">
      <alignment horizontal="justify" wrapText="1"/>
    </xf>
    <xf numFmtId="49" fontId="192" fillId="0" borderId="0" xfId="381" applyNumberFormat="1" applyFont="1" applyAlignment="1">
      <alignment horizontal="right" vertical="top"/>
    </xf>
    <xf numFmtId="0" fontId="192" fillId="0" borderId="0" xfId="381" applyFont="1" applyAlignment="1">
      <alignment horizontal="left" wrapText="1"/>
    </xf>
    <xf numFmtId="0" fontId="41" fillId="0" borderId="0" xfId="381" applyFont="1" applyAlignment="1">
      <alignment horizontal="left" vertical="top"/>
    </xf>
    <xf numFmtId="4" fontId="41" fillId="0" borderId="0" xfId="381" applyNumberFormat="1" applyFont="1" applyAlignment="1">
      <alignment horizontal="left"/>
    </xf>
    <xf numFmtId="4" fontId="41" fillId="0" borderId="0" xfId="381" applyNumberFormat="1" applyFont="1" applyAlignment="1">
      <alignment horizontal="right"/>
    </xf>
    <xf numFmtId="0" fontId="192" fillId="0" borderId="0" xfId="381" applyFont="1" applyAlignment="1">
      <alignment horizontal="left" vertical="top"/>
    </xf>
    <xf numFmtId="49" fontId="192" fillId="0" borderId="0" xfId="375" applyNumberFormat="1" applyFont="1" applyAlignment="1">
      <alignment horizontal="right" vertical="top"/>
    </xf>
    <xf numFmtId="0" fontId="41" fillId="0" borderId="0" xfId="4182" applyFont="1" applyAlignment="1">
      <alignment vertical="top" wrapText="1"/>
    </xf>
    <xf numFmtId="0" fontId="41" fillId="0" borderId="0" xfId="375" applyFont="1" applyAlignment="1">
      <alignment horizontal="left" vertical="top"/>
    </xf>
    <xf numFmtId="4" fontId="41" fillId="0" borderId="0" xfId="375" applyNumberFormat="1" applyFont="1" applyAlignment="1">
      <alignment horizontal="left"/>
    </xf>
    <xf numFmtId="0" fontId="41" fillId="0" borderId="0" xfId="4182" quotePrefix="1" applyFont="1" applyAlignment="1">
      <alignment vertical="top" wrapText="1"/>
    </xf>
    <xf numFmtId="0" fontId="41" fillId="0" borderId="0" xfId="381" applyFont="1" applyAlignment="1">
      <alignment vertical="top" wrapText="1"/>
    </xf>
    <xf numFmtId="0" fontId="41" fillId="0" borderId="0" xfId="4184" applyFont="1" applyAlignment="1">
      <alignment vertical="top" wrapText="1"/>
    </xf>
    <xf numFmtId="0" fontId="41" fillId="0" borderId="0" xfId="4187" applyFont="1" applyAlignment="1">
      <alignment vertical="top" wrapText="1"/>
    </xf>
    <xf numFmtId="0" fontId="41" fillId="0" borderId="0" xfId="4421" applyFont="1" applyAlignment="1">
      <alignment horizontal="left" vertical="top" wrapText="1"/>
    </xf>
    <xf numFmtId="0" fontId="41" fillId="0" borderId="0" xfId="381" applyFont="1" applyAlignment="1">
      <alignment horizontal="left" vertical="top" wrapText="1"/>
    </xf>
    <xf numFmtId="4" fontId="41" fillId="0" borderId="0" xfId="375" applyNumberFormat="1" applyFont="1" applyAlignment="1">
      <alignment horizontal="right"/>
    </xf>
    <xf numFmtId="49" fontId="40" fillId="0" borderId="0" xfId="375" applyNumberFormat="1" applyFont="1" applyAlignment="1">
      <alignment horizontal="right" vertical="top"/>
    </xf>
    <xf numFmtId="0" fontId="37" fillId="0" borderId="0" xfId="381" applyFont="1" applyAlignment="1">
      <alignment horizontal="left" vertical="top" wrapText="1"/>
    </xf>
    <xf numFmtId="0" fontId="37" fillId="0" borderId="0" xfId="375" applyFont="1" applyAlignment="1">
      <alignment horizontal="left" vertical="top"/>
    </xf>
    <xf numFmtId="4" fontId="37" fillId="0" borderId="0" xfId="375" applyNumberFormat="1" applyFont="1" applyAlignment="1">
      <alignment horizontal="left"/>
    </xf>
    <xf numFmtId="4" fontId="37" fillId="0" borderId="0" xfId="375" applyNumberFormat="1" applyFont="1" applyAlignment="1">
      <alignment horizontal="right"/>
    </xf>
    <xf numFmtId="4" fontId="37" fillId="0" borderId="0" xfId="381" applyNumberFormat="1" applyFont="1" applyAlignment="1">
      <alignment horizontal="right"/>
    </xf>
    <xf numFmtId="0" fontId="37" fillId="0" borderId="0" xfId="381" applyFont="1" applyAlignment="1">
      <alignment vertical="top" wrapText="1"/>
    </xf>
    <xf numFmtId="0" fontId="37" fillId="0" borderId="0" xfId="375" applyFont="1" applyAlignment="1">
      <alignment horizontal="left" vertical="top" wrapText="1"/>
    </xf>
    <xf numFmtId="0" fontId="40" fillId="0" borderId="0" xfId="375" applyFont="1" applyAlignment="1">
      <alignment horizontal="right" vertical="top"/>
    </xf>
    <xf numFmtId="0" fontId="37" fillId="0" borderId="0" xfId="375" applyFont="1" applyAlignment="1">
      <alignment horizontal="right" vertical="top"/>
    </xf>
    <xf numFmtId="0" fontId="192" fillId="0" borderId="0" xfId="375" applyFont="1" applyAlignment="1">
      <alignment horizontal="left" vertical="top" wrapText="1"/>
    </xf>
    <xf numFmtId="0" fontId="41" fillId="0" borderId="0" xfId="375" applyFont="1" applyAlignment="1">
      <alignment horizontal="left" vertical="top" wrapText="1"/>
    </xf>
    <xf numFmtId="0" fontId="192" fillId="0" borderId="0" xfId="375" applyFont="1" applyAlignment="1">
      <alignment horizontal="right" vertical="top"/>
    </xf>
    <xf numFmtId="4" fontId="41" fillId="0" borderId="0" xfId="375" applyNumberFormat="1" applyFont="1" applyAlignment="1">
      <alignment horizontal="left" wrapText="1"/>
    </xf>
    <xf numFmtId="0" fontId="40" fillId="0" borderId="0" xfId="375" applyFont="1" applyAlignment="1">
      <alignment horizontal="left" vertical="top"/>
    </xf>
    <xf numFmtId="4" fontId="37" fillId="0" borderId="0" xfId="375" applyNumberFormat="1" applyFont="1" applyAlignment="1">
      <alignment horizontal="left" wrapText="1"/>
    </xf>
    <xf numFmtId="203" fontId="40" fillId="0" borderId="0" xfId="375" applyNumberFormat="1" applyFont="1" applyAlignment="1">
      <alignment horizontal="right" vertical="top" wrapText="1"/>
    </xf>
    <xf numFmtId="0" fontId="37" fillId="0" borderId="0" xfId="381" applyFont="1" applyAlignment="1">
      <alignment horizontal="left" vertical="top"/>
    </xf>
    <xf numFmtId="4" fontId="37" fillId="0" borderId="0" xfId="381" applyNumberFormat="1" applyFont="1" applyAlignment="1">
      <alignment horizontal="left"/>
    </xf>
    <xf numFmtId="0" fontId="14" fillId="0" borderId="0" xfId="51" applyNumberFormat="1" applyFont="1" applyAlignment="1">
      <alignment horizontal="center" vertical="center" wrapText="1"/>
    </xf>
    <xf numFmtId="0" fontId="14" fillId="0" borderId="0" xfId="51" applyNumberFormat="1" applyFont="1" applyAlignment="1">
      <alignment horizontal="center" vertical="center"/>
    </xf>
    <xf numFmtId="0" fontId="14" fillId="0" borderId="0" xfId="51" applyNumberFormat="1" applyFont="1" applyAlignment="1" applyProtection="1">
      <alignment horizontal="center" vertical="center"/>
      <protection locked="0"/>
    </xf>
    <xf numFmtId="173" fontId="14" fillId="0" borderId="0" xfId="51" applyNumberFormat="1" applyFont="1" applyAlignment="1" applyProtection="1">
      <alignment horizontal="center" vertical="center"/>
      <protection locked="0"/>
    </xf>
    <xf numFmtId="173" fontId="15" fillId="0" borderId="0" xfId="51" applyNumberFormat="1" applyFont="1" applyAlignment="1">
      <alignment horizontal="center" vertical="center"/>
    </xf>
    <xf numFmtId="0" fontId="15" fillId="0" borderId="0" xfId="92" applyFont="1"/>
    <xf numFmtId="49" fontId="194" fillId="0" borderId="0" xfId="92" applyNumberFormat="1" applyFont="1" applyAlignment="1" applyProtection="1">
      <alignment horizontal="center" vertical="top"/>
      <protection hidden="1"/>
    </xf>
    <xf numFmtId="0" fontId="194" fillId="0" borderId="0" xfId="92" applyFont="1" applyAlignment="1" applyProtection="1">
      <alignment horizontal="left" wrapText="1"/>
      <protection hidden="1"/>
    </xf>
    <xf numFmtId="0" fontId="194" fillId="0" borderId="0" xfId="92" applyFont="1" applyAlignment="1" applyProtection="1">
      <alignment horizontal="center"/>
      <protection hidden="1"/>
    </xf>
    <xf numFmtId="4" fontId="194" fillId="0" borderId="0" xfId="92" applyNumberFormat="1" applyFont="1" applyAlignment="1" applyProtection="1">
      <alignment horizontal="right"/>
      <protection hidden="1"/>
    </xf>
    <xf numFmtId="173" fontId="194" fillId="0" borderId="0" xfId="92" applyNumberFormat="1" applyFont="1" applyAlignment="1" applyProtection="1">
      <alignment horizontal="right"/>
      <protection hidden="1"/>
    </xf>
    <xf numFmtId="173" fontId="187" fillId="0" borderId="0" xfId="92" applyNumberFormat="1" applyFont="1" applyAlignment="1" applyProtection="1">
      <alignment horizontal="right"/>
      <protection hidden="1"/>
    </xf>
    <xf numFmtId="0" fontId="187" fillId="0" borderId="0" xfId="92" applyFont="1" applyAlignment="1" applyProtection="1">
      <alignment horizontal="center"/>
      <protection hidden="1"/>
    </xf>
    <xf numFmtId="0" fontId="14" fillId="0" borderId="0" xfId="92" quotePrefix="1" applyFont="1" applyAlignment="1" applyProtection="1">
      <alignment horizontal="center" vertical="top" wrapText="1"/>
      <protection hidden="1"/>
    </xf>
    <xf numFmtId="0" fontId="14" fillId="0" borderId="0" xfId="92" quotePrefix="1" applyFont="1" applyAlignment="1" applyProtection="1">
      <alignment horizontal="left" vertical="top" wrapText="1"/>
      <protection hidden="1"/>
    </xf>
    <xf numFmtId="0" fontId="15" fillId="0" borderId="0" xfId="92" quotePrefix="1" applyFont="1" applyAlignment="1" applyProtection="1">
      <alignment horizontal="center" vertical="top" wrapText="1"/>
      <protection hidden="1"/>
    </xf>
    <xf numFmtId="49" fontId="187" fillId="0" borderId="0" xfId="92" applyNumberFormat="1" applyFont="1" applyAlignment="1" applyProtection="1">
      <alignment horizontal="center" vertical="top"/>
      <protection hidden="1"/>
    </xf>
    <xf numFmtId="0" fontId="15" fillId="0" borderId="0" xfId="0" applyFont="1" applyAlignment="1">
      <alignment horizontal="justify"/>
    </xf>
    <xf numFmtId="0" fontId="14" fillId="0" borderId="0" xfId="0" applyFont="1" applyAlignment="1">
      <alignment horizontal="left" vertical="top"/>
    </xf>
    <xf numFmtId="0" fontId="15" fillId="0" borderId="0" xfId="0" applyFont="1" applyAlignment="1">
      <alignment horizontal="right"/>
    </xf>
    <xf numFmtId="4" fontId="15" fillId="0" borderId="0" xfId="0" applyNumberFormat="1" applyFont="1"/>
    <xf numFmtId="49" fontId="14" fillId="0" borderId="0" xfId="4904" applyNumberFormat="1" applyFont="1" applyAlignment="1">
      <alignment horizontal="center"/>
    </xf>
    <xf numFmtId="0" fontId="15" fillId="0" borderId="0" xfId="4904" applyFont="1" applyAlignment="1">
      <alignment horizontal="right"/>
    </xf>
    <xf numFmtId="4" fontId="15" fillId="0" borderId="0" xfId="4904" applyNumberFormat="1" applyFont="1"/>
    <xf numFmtId="0" fontId="15" fillId="0" borderId="0" xfId="92" applyFont="1" applyAlignment="1" applyProtection="1">
      <alignment horizontal="center"/>
      <protection hidden="1"/>
    </xf>
    <xf numFmtId="0" fontId="14" fillId="0" borderId="0" xfId="0" applyFont="1" applyAlignment="1">
      <alignment vertical="top"/>
    </xf>
    <xf numFmtId="0" fontId="14" fillId="0" borderId="0" xfId="0" applyFont="1" applyAlignment="1">
      <alignment wrapText="1"/>
    </xf>
    <xf numFmtId="205" fontId="15" fillId="0" borderId="0" xfId="0" applyNumberFormat="1" applyFont="1"/>
    <xf numFmtId="204" fontId="15" fillId="0" borderId="0" xfId="0" applyNumberFormat="1" applyFont="1" applyAlignment="1">
      <alignment horizontal="right" vertical="top"/>
    </xf>
    <xf numFmtId="0" fontId="14" fillId="0" borderId="0" xfId="0" applyFont="1" applyAlignment="1">
      <alignment horizontal="center"/>
    </xf>
    <xf numFmtId="205" fontId="14" fillId="0" borderId="0" xfId="0" applyNumberFormat="1" applyFont="1"/>
    <xf numFmtId="0" fontId="15" fillId="0" borderId="0" xfId="205" applyFont="1" applyAlignment="1">
      <alignment vertical="top" wrapText="1"/>
    </xf>
    <xf numFmtId="0" fontId="15" fillId="0" borderId="0" xfId="0" applyFont="1" applyAlignment="1">
      <alignment vertical="center" wrapText="1"/>
    </xf>
    <xf numFmtId="0" fontId="15" fillId="0" borderId="0" xfId="211" applyFont="1" applyAlignment="1">
      <alignment vertical="top" wrapText="1"/>
    </xf>
    <xf numFmtId="204" fontId="15" fillId="0" borderId="0" xfId="4910" applyNumberFormat="1" applyFont="1" applyAlignment="1">
      <alignment vertical="top"/>
    </xf>
    <xf numFmtId="0" fontId="15" fillId="0" borderId="0" xfId="4910" applyFont="1" applyAlignment="1">
      <alignment horizontal="left" vertical="top" wrapText="1"/>
    </xf>
    <xf numFmtId="0" fontId="15" fillId="0" borderId="0" xfId="201" applyFont="1" applyAlignment="1">
      <alignment horizontal="right"/>
    </xf>
    <xf numFmtId="204" fontId="15" fillId="0" borderId="0" xfId="0" applyNumberFormat="1" applyFont="1" applyAlignment="1">
      <alignment vertical="top"/>
    </xf>
    <xf numFmtId="0" fontId="15" fillId="0" borderId="0" xfId="0" applyFont="1" applyAlignment="1">
      <alignment horizontal="right" wrapText="1"/>
    </xf>
    <xf numFmtId="0" fontId="15" fillId="0" borderId="0" xfId="0" applyFont="1" applyAlignment="1">
      <alignment horizontal="justify" vertical="top" wrapText="1"/>
    </xf>
    <xf numFmtId="204" fontId="14" fillId="0" borderId="0" xfId="194" applyNumberFormat="1" applyFont="1" applyAlignment="1">
      <alignment vertical="top"/>
    </xf>
    <xf numFmtId="0" fontId="14" fillId="0" borderId="0" xfId="196" applyFont="1" applyAlignment="1">
      <alignment vertical="top" wrapText="1"/>
    </xf>
    <xf numFmtId="0" fontId="14" fillId="0" borderId="0" xfId="201" applyFont="1" applyAlignment="1">
      <alignment horizontal="right"/>
    </xf>
    <xf numFmtId="0" fontId="15" fillId="0" borderId="0" xfId="0" applyFont="1" applyAlignment="1">
      <alignment horizontal="justify" vertical="justify" wrapText="1"/>
    </xf>
    <xf numFmtId="206" fontId="15" fillId="0" borderId="0" xfId="0" applyNumberFormat="1" applyFont="1" applyAlignment="1">
      <alignment horizontal="right"/>
    </xf>
    <xf numFmtId="49" fontId="15" fillId="0" borderId="0" xfId="159" applyNumberFormat="1" applyFont="1" applyAlignment="1">
      <alignment horizontal="justify" vertical="center"/>
    </xf>
    <xf numFmtId="0" fontId="15" fillId="0" borderId="0" xfId="159" applyFont="1" applyAlignment="1">
      <alignment horizontal="right"/>
    </xf>
    <xf numFmtId="1" fontId="15" fillId="0" borderId="0" xfId="159" applyNumberFormat="1" applyFont="1" applyAlignment="1">
      <alignment horizontal="right"/>
    </xf>
    <xf numFmtId="4" fontId="15" fillId="0" borderId="0" xfId="159" applyNumberFormat="1" applyFont="1" applyAlignment="1" applyProtection="1">
      <alignment horizontal="right"/>
      <protection locked="0"/>
    </xf>
    <xf numFmtId="4" fontId="15" fillId="0" borderId="0" xfId="159" applyNumberFormat="1" applyFont="1" applyAlignment="1">
      <alignment horizontal="right"/>
    </xf>
    <xf numFmtId="0" fontId="15" fillId="0" borderId="0" xfId="159" applyFont="1"/>
    <xf numFmtId="2" fontId="15" fillId="0" borderId="0" xfId="159" applyNumberFormat="1" applyFont="1" applyAlignment="1">
      <alignment horizontal="justify" vertical="center"/>
    </xf>
    <xf numFmtId="0" fontId="15" fillId="0" borderId="0" xfId="202" applyFont="1" applyAlignment="1">
      <alignment horizontal="right"/>
    </xf>
    <xf numFmtId="0" fontId="15" fillId="0" borderId="0" xfId="0" applyFont="1" applyAlignment="1" applyProtection="1">
      <alignment wrapText="1"/>
      <protection locked="0"/>
    </xf>
    <xf numFmtId="0" fontId="15" fillId="0" borderId="0" xfId="159" applyFont="1" applyAlignment="1">
      <alignment horizontal="justify" vertical="center"/>
    </xf>
    <xf numFmtId="0" fontId="15" fillId="0" borderId="0" xfId="197" applyFont="1" applyAlignment="1">
      <alignment vertical="top" wrapText="1"/>
    </xf>
    <xf numFmtId="49" fontId="15" fillId="0" borderId="0" xfId="159" quotePrefix="1" applyNumberFormat="1" applyFont="1" applyAlignment="1">
      <alignment horizontal="justify" vertical="top" wrapText="1"/>
    </xf>
    <xf numFmtId="49" fontId="15" fillId="0" borderId="0" xfId="159" quotePrefix="1" applyNumberFormat="1" applyFont="1" applyAlignment="1">
      <alignment horizontal="justify" vertical="top"/>
    </xf>
    <xf numFmtId="204" fontId="15" fillId="0" borderId="0" xfId="0" applyNumberFormat="1" applyFont="1" applyAlignment="1">
      <alignment horizontal="center" vertical="top"/>
    </xf>
    <xf numFmtId="0" fontId="15" fillId="0" borderId="0" xfId="4922" applyFont="1" applyAlignment="1">
      <alignment horizontal="left" vertical="top" wrapText="1"/>
    </xf>
    <xf numFmtId="4" fontId="15" fillId="0" borderId="0" xfId="0" applyNumberFormat="1" applyFont="1" applyAlignment="1">
      <alignment vertical="center" wrapText="1"/>
    </xf>
    <xf numFmtId="0" fontId="15" fillId="0" borderId="0" xfId="0" applyFont="1" applyAlignment="1">
      <alignment horizontal="center" vertical="center" wrapText="1"/>
    </xf>
    <xf numFmtId="0" fontId="15" fillId="0" borderId="0" xfId="92" applyFont="1" applyAlignment="1">
      <alignment horizontal="left"/>
    </xf>
    <xf numFmtId="0" fontId="15" fillId="0" borderId="0" xfId="107" applyFont="1" applyAlignment="1" applyProtection="1">
      <alignment horizontal="center"/>
      <protection hidden="1"/>
    </xf>
    <xf numFmtId="4" fontId="15" fillId="0" borderId="0" xfId="107" applyNumberFormat="1" applyFont="1" applyAlignment="1" applyProtection="1">
      <alignment horizontal="right"/>
      <protection hidden="1"/>
    </xf>
    <xf numFmtId="173" fontId="15" fillId="0" borderId="0" xfId="107" applyNumberFormat="1" applyFont="1" applyAlignment="1" applyProtection="1">
      <alignment horizontal="right"/>
      <protection hidden="1"/>
    </xf>
    <xf numFmtId="49" fontId="15" fillId="0" borderId="0" xfId="107" applyNumberFormat="1" applyFont="1" applyAlignment="1" applyProtection="1">
      <alignment horizontal="center" vertical="top"/>
      <protection hidden="1"/>
    </xf>
    <xf numFmtId="0" fontId="15" fillId="0" borderId="0" xfId="92" applyFont="1" applyAlignment="1">
      <alignment horizontal="center"/>
    </xf>
    <xf numFmtId="4" fontId="15" fillId="0" borderId="0" xfId="92" applyNumberFormat="1" applyFont="1" applyAlignment="1">
      <alignment horizontal="right"/>
    </xf>
    <xf numFmtId="173" fontId="15" fillId="0" borderId="0" xfId="92" applyNumberFormat="1" applyFont="1" applyAlignment="1">
      <alignment horizontal="right"/>
    </xf>
    <xf numFmtId="0" fontId="15" fillId="0" borderId="0" xfId="107" applyFont="1" applyAlignment="1" applyProtection="1">
      <alignment horizontal="left" vertical="top" wrapText="1"/>
      <protection hidden="1"/>
    </xf>
    <xf numFmtId="0" fontId="15" fillId="0" borderId="0" xfId="92" applyFont="1" applyAlignment="1">
      <alignment horizontal="left" vertical="top" wrapText="1"/>
    </xf>
    <xf numFmtId="49" fontId="15" fillId="0" borderId="0" xfId="92" applyNumberFormat="1" applyFont="1" applyAlignment="1">
      <alignment horizontal="center" vertical="top"/>
    </xf>
    <xf numFmtId="0" fontId="15" fillId="0" borderId="0" xfId="92" applyFont="1" applyAlignment="1">
      <alignment horizontal="left" wrapText="1"/>
    </xf>
    <xf numFmtId="0" fontId="14" fillId="0" borderId="0" xfId="107" applyFont="1" applyAlignment="1" applyProtection="1">
      <alignment horizontal="left" vertical="center" wrapText="1"/>
      <protection hidden="1"/>
    </xf>
    <xf numFmtId="0" fontId="14" fillId="0" borderId="0" xfId="107" applyFont="1" applyAlignment="1" applyProtection="1">
      <alignment vertical="center"/>
      <protection hidden="1"/>
    </xf>
    <xf numFmtId="173" fontId="14" fillId="0" borderId="0" xfId="107" applyNumberFormat="1" applyFont="1" applyAlignment="1" applyProtection="1">
      <alignment vertical="center"/>
      <protection hidden="1"/>
    </xf>
    <xf numFmtId="173" fontId="15" fillId="0" borderId="0" xfId="92" applyNumberFormat="1" applyFont="1" applyAlignment="1" applyProtection="1">
      <alignment horizontal="right"/>
      <protection locked="0"/>
    </xf>
    <xf numFmtId="0" fontId="14" fillId="0" borderId="0" xfId="92" applyFont="1" applyAlignment="1">
      <alignment horizontal="left"/>
    </xf>
    <xf numFmtId="0" fontId="15" fillId="0" borderId="0" xfId="92" applyFont="1" applyAlignment="1">
      <alignment horizontal="center" vertical="justify"/>
    </xf>
    <xf numFmtId="173" fontId="14" fillId="0" borderId="0" xfId="92" applyNumberFormat="1" applyFont="1" applyAlignment="1" applyProtection="1">
      <alignment horizontal="right"/>
      <protection hidden="1"/>
    </xf>
    <xf numFmtId="207" fontId="15" fillId="0" borderId="0" xfId="62" applyNumberFormat="1" applyFont="1" applyFill="1" applyAlignment="1">
      <alignment horizontal="center"/>
    </xf>
    <xf numFmtId="44" fontId="15" fillId="0" borderId="0" xfId="91" applyFont="1" applyFill="1" applyAlignment="1"/>
    <xf numFmtId="44" fontId="15" fillId="0" borderId="0" xfId="91" applyFont="1" applyFill="1" applyAlignment="1">
      <alignment horizontal="right"/>
    </xf>
    <xf numFmtId="49" fontId="14" fillId="0" borderId="10" xfId="51" applyNumberFormat="1" applyFont="1" applyBorder="1" applyAlignment="1">
      <alignment horizontal="center" vertical="center" wrapText="1"/>
    </xf>
    <xf numFmtId="173" fontId="14" fillId="0" borderId="10" xfId="51" applyNumberFormat="1" applyFont="1" applyBorder="1" applyAlignment="1" applyProtection="1">
      <alignment horizontal="center" vertical="center"/>
      <protection locked="0"/>
    </xf>
    <xf numFmtId="173" fontId="14" fillId="0" borderId="10" xfId="51" applyNumberFormat="1" applyFont="1" applyBorder="1" applyAlignment="1">
      <alignment horizontal="center" vertical="center"/>
    </xf>
    <xf numFmtId="0" fontId="15" fillId="0" borderId="0" xfId="103" applyFont="1"/>
    <xf numFmtId="49" fontId="15" fillId="0" borderId="11" xfId="103" applyNumberFormat="1" applyFont="1" applyBorder="1" applyAlignment="1">
      <alignment horizontal="center" vertical="top"/>
    </xf>
    <xf numFmtId="0" fontId="14" fillId="0" borderId="0" xfId="103" applyFont="1" applyAlignment="1">
      <alignment horizontal="center"/>
    </xf>
    <xf numFmtId="0" fontId="14" fillId="0" borderId="0" xfId="103" applyFont="1" applyAlignment="1">
      <alignment horizontal="left"/>
    </xf>
    <xf numFmtId="49" fontId="14" fillId="0" borderId="0" xfId="103" applyNumberFormat="1" applyFont="1" applyAlignment="1">
      <alignment horizontal="center" vertical="top"/>
    </xf>
    <xf numFmtId="204" fontId="14" fillId="0" borderId="0" xfId="0" applyNumberFormat="1" applyFont="1" applyAlignment="1">
      <alignment horizontal="center" vertical="top"/>
    </xf>
    <xf numFmtId="204" fontId="14" fillId="0" borderId="0" xfId="0" applyNumberFormat="1" applyFont="1" applyAlignment="1">
      <alignment horizontal="right" vertical="top"/>
    </xf>
    <xf numFmtId="205" fontId="15" fillId="0" borderId="0" xfId="0" applyNumberFormat="1" applyFont="1" applyAlignment="1">
      <alignment horizontal="right"/>
    </xf>
    <xf numFmtId="0" fontId="15" fillId="0" borderId="0" xfId="0" applyFont="1" applyAlignment="1">
      <alignment horizontal="left" vertical="top" indent="2"/>
    </xf>
    <xf numFmtId="204" fontId="15" fillId="0" borderId="0" xfId="4901" applyNumberFormat="1" applyFont="1" applyAlignment="1">
      <alignment horizontal="center" vertical="top"/>
    </xf>
    <xf numFmtId="0" fontId="15" fillId="0" borderId="0" xfId="4027" applyFont="1" applyAlignment="1">
      <alignment horizontal="left" vertical="top" wrapText="1"/>
    </xf>
    <xf numFmtId="0" fontId="15" fillId="0" borderId="0" xfId="4901" applyFont="1"/>
    <xf numFmtId="2" fontId="15" fillId="0" borderId="0" xfId="0" applyNumberFormat="1" applyFont="1" applyAlignment="1">
      <alignment horizontal="center"/>
    </xf>
    <xf numFmtId="0" fontId="15" fillId="0" borderId="0" xfId="3832" applyFont="1" applyAlignment="1" applyProtection="1">
      <alignment horizontal="left" vertical="top" wrapText="1"/>
      <protection hidden="1"/>
    </xf>
    <xf numFmtId="0" fontId="15" fillId="0" borderId="0" xfId="0" applyFont="1" applyAlignment="1">
      <alignment horizontal="left"/>
    </xf>
    <xf numFmtId="170" fontId="15" fillId="0" borderId="0" xfId="4924" applyNumberFormat="1" applyFont="1" applyAlignment="1" applyProtection="1">
      <alignment horizontal="right"/>
      <protection locked="0"/>
    </xf>
    <xf numFmtId="0" fontId="15" fillId="0" borderId="13" xfId="0" applyFont="1" applyBorder="1" applyAlignment="1">
      <alignment horizontal="center" wrapText="1"/>
    </xf>
    <xf numFmtId="0" fontId="15" fillId="0" borderId="0" xfId="0" applyFont="1" applyAlignment="1">
      <alignment horizontal="left" vertical="top" wrapText="1" indent="3"/>
    </xf>
    <xf numFmtId="0" fontId="14" fillId="0" borderId="0" xfId="103" applyFont="1" applyAlignment="1">
      <alignment horizontal="center" vertical="top"/>
    </xf>
    <xf numFmtId="49" fontId="15" fillId="0" borderId="0" xfId="103" applyNumberFormat="1" applyFont="1" applyAlignment="1">
      <alignment horizontal="center" vertical="top"/>
    </xf>
    <xf numFmtId="0" fontId="15" fillId="0" borderId="0" xfId="103" applyFont="1" applyAlignment="1">
      <alignment horizontal="left" vertical="top" wrapText="1"/>
    </xf>
    <xf numFmtId="0" fontId="15" fillId="0" borderId="0" xfId="103" applyFont="1" applyAlignment="1">
      <alignment horizontal="center"/>
    </xf>
    <xf numFmtId="4" fontId="15" fillId="0" borderId="0" xfId="103" applyNumberFormat="1" applyFont="1" applyAlignment="1">
      <alignment horizontal="right"/>
    </xf>
    <xf numFmtId="173" fontId="15" fillId="0" borderId="0" xfId="103" applyNumberFormat="1" applyFont="1" applyAlignment="1">
      <alignment horizontal="right"/>
    </xf>
    <xf numFmtId="4" fontId="15" fillId="0" borderId="0" xfId="0" applyNumberFormat="1" applyFont="1" applyAlignment="1">
      <alignment horizontal="center" wrapText="1"/>
    </xf>
    <xf numFmtId="0" fontId="14" fillId="0" borderId="0" xfId="103" applyFont="1" applyAlignment="1">
      <alignment horizontal="left" vertical="top" wrapText="1"/>
    </xf>
    <xf numFmtId="0" fontId="14" fillId="0" borderId="0" xfId="0" applyFont="1" applyAlignment="1">
      <alignment horizontal="justify" vertical="top"/>
    </xf>
    <xf numFmtId="4" fontId="15" fillId="0" borderId="30" xfId="0" applyNumberFormat="1" applyFont="1" applyBorder="1" applyAlignment="1">
      <alignment horizontal="left" vertical="top" wrapText="1"/>
    </xf>
    <xf numFmtId="0" fontId="15" fillId="0" borderId="13" xfId="0" applyFont="1" applyBorder="1" applyAlignment="1">
      <alignment horizontal="right" wrapText="1"/>
    </xf>
    <xf numFmtId="204" fontId="15" fillId="0" borderId="0" xfId="0" applyNumberFormat="1" applyFont="1" applyAlignment="1" applyProtection="1">
      <alignment horizontal="right" vertical="top"/>
      <protection locked="0"/>
    </xf>
    <xf numFmtId="49" fontId="15" fillId="0" borderId="0" xfId="0" applyNumberFormat="1" applyFont="1" applyAlignment="1" applyProtection="1">
      <alignment vertical="top" wrapText="1"/>
      <protection locked="0"/>
    </xf>
    <xf numFmtId="49" fontId="15" fillId="0" borderId="0" xfId="0" applyNumberFormat="1" applyFont="1" applyAlignment="1" applyProtection="1">
      <alignment horizontal="right"/>
      <protection locked="0"/>
    </xf>
    <xf numFmtId="0" fontId="15" fillId="0" borderId="0" xfId="0" applyFont="1" applyAlignment="1" applyProtection="1">
      <alignment horizontal="center"/>
      <protection locked="0"/>
    </xf>
    <xf numFmtId="4" fontId="15" fillId="0" borderId="0" xfId="0" applyNumberFormat="1" applyFont="1" applyAlignment="1" applyProtection="1">
      <alignment horizontal="right"/>
      <protection locked="0"/>
    </xf>
    <xf numFmtId="205" fontId="15" fillId="0" borderId="0" xfId="0" applyNumberFormat="1" applyFont="1" applyAlignment="1">
      <alignment horizontal="center"/>
    </xf>
    <xf numFmtId="49" fontId="15" fillId="0" borderId="0" xfId="0" applyNumberFormat="1" applyFont="1" applyAlignment="1">
      <alignment horizontal="center"/>
    </xf>
    <xf numFmtId="0" fontId="15" fillId="0" borderId="0" xfId="4925" applyFont="1" applyAlignment="1">
      <alignment vertical="top" wrapText="1"/>
    </xf>
    <xf numFmtId="205" fontId="15" fillId="0" borderId="0" xfId="0" applyNumberFormat="1" applyFont="1" applyAlignment="1" applyProtection="1">
      <alignment horizontal="center"/>
      <protection locked="0"/>
    </xf>
    <xf numFmtId="2" fontId="15" fillId="0" borderId="0" xfId="0" applyNumberFormat="1" applyFont="1" applyAlignment="1">
      <alignment vertical="top" wrapText="1"/>
    </xf>
    <xf numFmtId="0" fontId="15" fillId="0" borderId="0" xfId="0" applyFont="1" applyAlignment="1" applyProtection="1">
      <alignment vertical="top" wrapText="1"/>
      <protection locked="0"/>
    </xf>
    <xf numFmtId="49" fontId="15" fillId="0" borderId="0" xfId="0" applyNumberFormat="1" applyFont="1" applyAlignment="1" applyProtection="1">
      <alignment horizontal="center"/>
      <protection locked="0"/>
    </xf>
    <xf numFmtId="0" fontId="15" fillId="0" borderId="0" xfId="0" quotePrefix="1" applyFont="1" applyAlignment="1" applyProtection="1">
      <alignment vertical="top" wrapText="1"/>
      <protection locked="0"/>
    </xf>
    <xf numFmtId="0" fontId="15" fillId="0" borderId="13" xfId="0" applyFont="1" applyBorder="1" applyAlignment="1">
      <alignment horizontal="center" vertical="center" wrapText="1"/>
    </xf>
    <xf numFmtId="49" fontId="15" fillId="0" borderId="0" xfId="0" applyNumberFormat="1" applyFont="1" applyAlignment="1">
      <alignment horizontal="left" vertical="top" wrapText="1"/>
    </xf>
    <xf numFmtId="0" fontId="15" fillId="0" borderId="0" xfId="4905" applyFont="1" applyAlignment="1">
      <alignment vertical="center"/>
    </xf>
    <xf numFmtId="204" fontId="15" fillId="0" borderId="0" xfId="159" applyNumberFormat="1" applyFont="1" applyAlignment="1">
      <alignment horizontal="center" vertical="top"/>
    </xf>
    <xf numFmtId="0" fontId="15" fillId="0" borderId="0" xfId="159" applyFont="1" applyAlignment="1">
      <alignment horizontal="justify" vertical="top" wrapText="1"/>
    </xf>
    <xf numFmtId="0" fontId="15" fillId="0" borderId="0" xfId="159" applyFont="1" applyAlignment="1">
      <alignment horizontal="center"/>
    </xf>
    <xf numFmtId="2" fontId="15" fillId="0" borderId="0" xfId="0" applyNumberFormat="1" applyFont="1" applyAlignment="1">
      <alignment horizontal="right"/>
    </xf>
    <xf numFmtId="0" fontId="15" fillId="0" borderId="0" xfId="159" applyFont="1" applyAlignment="1">
      <alignment horizontal="left" vertical="top" wrapText="1"/>
    </xf>
    <xf numFmtId="0" fontId="15" fillId="0" borderId="0" xfId="65" applyFont="1" applyAlignment="1">
      <alignment horizontal="justify" vertical="top" wrapText="1"/>
    </xf>
    <xf numFmtId="0" fontId="15" fillId="0" borderId="0" xfId="103" applyFont="1" applyAlignment="1">
      <alignment wrapText="1"/>
    </xf>
    <xf numFmtId="0" fontId="196" fillId="0" borderId="0" xfId="0" applyFont="1"/>
    <xf numFmtId="49" fontId="35" fillId="0" borderId="0" xfId="90" applyNumberFormat="1" applyFont="1" applyAlignment="1">
      <alignment horizontal="center" vertical="top"/>
    </xf>
    <xf numFmtId="2" fontId="12" fillId="0" borderId="0" xfId="0" applyNumberFormat="1" applyFont="1" applyAlignment="1">
      <alignment horizontal="center"/>
    </xf>
    <xf numFmtId="0" fontId="35" fillId="0" borderId="0" xfId="0" applyFont="1" applyAlignment="1">
      <alignment horizontal="center" vertical="top" wrapText="1"/>
    </xf>
    <xf numFmtId="172" fontId="15" fillId="0" borderId="0" xfId="0" applyNumberFormat="1" applyFont="1" applyAlignment="1">
      <alignment horizontal="right"/>
    </xf>
    <xf numFmtId="7" fontId="12" fillId="0" borderId="0" xfId="0" applyNumberFormat="1" applyFont="1"/>
    <xf numFmtId="4" fontId="12" fillId="0" borderId="0" xfId="90" applyFont="1" applyAlignment="1">
      <alignment vertical="top" wrapText="1"/>
    </xf>
    <xf numFmtId="0" fontId="200" fillId="0" borderId="0" xfId="0" applyFont="1"/>
    <xf numFmtId="0" fontId="12" fillId="0" borderId="0" xfId="0" applyFont="1" applyAlignment="1">
      <alignment horizontal="right" wrapText="1"/>
    </xf>
    <xf numFmtId="49" fontId="12" fillId="0" borderId="0" xfId="0" applyNumberFormat="1" applyFont="1" applyAlignment="1">
      <alignment horizontal="center" vertical="top" wrapText="1"/>
    </xf>
    <xf numFmtId="2" fontId="12" fillId="0" borderId="0" xfId="0" applyNumberFormat="1" applyFont="1" applyAlignment="1">
      <alignment horizontal="left" vertical="top"/>
    </xf>
    <xf numFmtId="0" fontId="35" fillId="0" borderId="0" xfId="0" applyFont="1" applyAlignment="1">
      <alignment horizontal="left" vertical="top"/>
    </xf>
    <xf numFmtId="0" fontId="37" fillId="0" borderId="0" xfId="3962" applyAlignment="1" applyProtection="1">
      <alignment horizontal="left" vertical="top"/>
      <protection hidden="1"/>
    </xf>
    <xf numFmtId="4" fontId="37" fillId="0" borderId="0" xfId="3962" applyNumberFormat="1" applyAlignment="1" applyProtection="1">
      <alignment horizontal="left"/>
      <protection hidden="1"/>
    </xf>
    <xf numFmtId="0" fontId="37" fillId="0" borderId="0" xfId="3962" applyProtection="1">
      <protection hidden="1"/>
    </xf>
    <xf numFmtId="4" fontId="37" fillId="0" borderId="0" xfId="3962" applyNumberFormat="1" applyProtection="1">
      <protection locked="0"/>
    </xf>
    <xf numFmtId="0" fontId="37" fillId="0" borderId="0" xfId="4424" applyAlignment="1">
      <alignment horizontal="left" vertical="top" wrapText="1"/>
    </xf>
    <xf numFmtId="0" fontId="37" fillId="0" borderId="0" xfId="4358" applyAlignment="1">
      <alignment horizontal="left" vertical="top" wrapText="1"/>
    </xf>
    <xf numFmtId="0" fontId="37" fillId="0" borderId="0" xfId="4424" applyAlignment="1">
      <alignment vertical="center" wrapText="1"/>
    </xf>
    <xf numFmtId="0" fontId="37" fillId="0" borderId="0" xfId="4427" applyAlignment="1">
      <alignment horizontal="left" vertical="top" wrapText="1"/>
    </xf>
    <xf numFmtId="0" fontId="37" fillId="0" borderId="0" xfId="4426" applyAlignment="1">
      <alignment horizontal="left" vertical="top" wrapText="1"/>
    </xf>
    <xf numFmtId="0" fontId="14" fillId="0" borderId="0" xfId="0" applyFont="1"/>
    <xf numFmtId="0" fontId="14" fillId="0" borderId="0" xfId="0" applyFont="1" applyAlignment="1">
      <alignment horizontal="justify"/>
    </xf>
    <xf numFmtId="0" fontId="14" fillId="0" borderId="0" xfId="0" applyFont="1" applyAlignment="1">
      <alignment horizontal="right"/>
    </xf>
    <xf numFmtId="0" fontId="15" fillId="0" borderId="0" xfId="0" applyFont="1" applyAlignment="1">
      <alignment horizontal="right" vertical="top"/>
    </xf>
    <xf numFmtId="206" fontId="15" fillId="0" borderId="0" xfId="0" applyNumberFormat="1" applyFont="1" applyAlignment="1">
      <alignment horizontal="center" wrapText="1"/>
    </xf>
    <xf numFmtId="0" fontId="15" fillId="0" borderId="0" xfId="4923" applyFont="1" applyProtection="1"/>
    <xf numFmtId="0" fontId="15" fillId="0" borderId="0" xfId="44" applyFont="1"/>
    <xf numFmtId="49" fontId="15" fillId="0" borderId="0" xfId="4904" applyNumberFormat="1" applyFont="1" applyAlignment="1">
      <alignment horizontal="center" vertical="top"/>
    </xf>
    <xf numFmtId="0" fontId="15" fillId="0" borderId="0" xfId="44" applyFont="1" applyAlignment="1">
      <alignment horizontal="justify" vertical="top" wrapText="1"/>
    </xf>
    <xf numFmtId="0" fontId="15" fillId="0" borderId="0" xfId="44" applyFont="1" applyAlignment="1">
      <alignment horizontal="center" vertical="center" wrapText="1"/>
    </xf>
    <xf numFmtId="2" fontId="15" fillId="0" borderId="0" xfId="4904" applyNumberFormat="1" applyFont="1" applyAlignment="1">
      <alignment horizontal="right"/>
    </xf>
    <xf numFmtId="2" fontId="15" fillId="0" borderId="0" xfId="4904" applyNumberFormat="1" applyFont="1"/>
    <xf numFmtId="0" fontId="15" fillId="0" borderId="13" xfId="0" applyFont="1" applyBorder="1" applyAlignment="1">
      <alignment horizontal="center"/>
    </xf>
    <xf numFmtId="4" fontId="15" fillId="0" borderId="13" xfId="0" applyNumberFormat="1" applyFont="1" applyBorder="1" applyAlignment="1">
      <alignment horizontal="right"/>
    </xf>
    <xf numFmtId="4" fontId="15" fillId="0" borderId="10" xfId="0" applyNumberFormat="1" applyFont="1" applyBorder="1" applyAlignment="1">
      <alignment horizontal="right"/>
    </xf>
    <xf numFmtId="4" fontId="15" fillId="0" borderId="30" xfId="0" applyNumberFormat="1" applyFont="1" applyBorder="1" applyAlignment="1">
      <alignment horizontal="justify" vertical="center" wrapText="1"/>
    </xf>
    <xf numFmtId="0" fontId="15" fillId="0" borderId="13" xfId="0" applyFont="1" applyBorder="1"/>
    <xf numFmtId="4" fontId="15" fillId="0" borderId="13" xfId="0" applyNumberFormat="1" applyFont="1" applyBorder="1"/>
    <xf numFmtId="4" fontId="15" fillId="0" borderId="13" xfId="0" applyNumberFormat="1" applyFont="1" applyBorder="1" applyAlignment="1">
      <alignment horizontal="right" wrapText="1"/>
    </xf>
    <xf numFmtId="0" fontId="14" fillId="0" borderId="0" xfId="0" applyFont="1" applyAlignment="1">
      <alignment horizontal="right" vertical="top" wrapText="1"/>
    </xf>
    <xf numFmtId="0" fontId="15" fillId="0" borderId="0" xfId="0" applyFont="1" applyAlignment="1">
      <alignment horizontal="left" vertical="top" wrapText="1" indent="2"/>
    </xf>
    <xf numFmtId="173" fontId="15" fillId="0" borderId="0" xfId="0" applyNumberFormat="1" applyFont="1"/>
    <xf numFmtId="0" fontId="15" fillId="0" borderId="0" xfId="4029" applyFont="1" applyAlignment="1">
      <alignment horizontal="left" vertical="top" wrapText="1"/>
    </xf>
    <xf numFmtId="0" fontId="15" fillId="0" borderId="0" xfId="4901" applyFont="1" applyAlignment="1">
      <alignment horizontal="center" wrapText="1"/>
    </xf>
    <xf numFmtId="0" fontId="15" fillId="0" borderId="30" xfId="0" applyFont="1" applyBorder="1" applyAlignment="1">
      <alignment horizontal="left" vertical="top" wrapText="1"/>
    </xf>
    <xf numFmtId="4" fontId="15" fillId="0" borderId="10" xfId="0" applyNumberFormat="1" applyFont="1" applyBorder="1" applyAlignment="1">
      <alignment horizontal="right" wrapText="1"/>
    </xf>
    <xf numFmtId="0" fontId="14" fillId="0" borderId="0" xfId="0" applyFont="1" applyAlignment="1">
      <alignment horizontal="right" vertical="top"/>
    </xf>
    <xf numFmtId="205" fontId="14" fillId="0" borderId="0" xfId="0" applyNumberFormat="1" applyFont="1" applyAlignment="1">
      <alignment horizontal="right"/>
    </xf>
    <xf numFmtId="205" fontId="15" fillId="0" borderId="13" xfId="0" applyNumberFormat="1" applyFont="1" applyBorder="1" applyAlignment="1">
      <alignment horizontal="right"/>
    </xf>
    <xf numFmtId="205" fontId="15" fillId="0" borderId="31" xfId="0" applyNumberFormat="1" applyFont="1" applyBorder="1" applyAlignment="1">
      <alignment horizontal="right"/>
    </xf>
    <xf numFmtId="0" fontId="14" fillId="0" borderId="0" xfId="0" applyFont="1" applyAlignment="1">
      <alignment horizontal="justify" wrapText="1"/>
    </xf>
    <xf numFmtId="0" fontId="15" fillId="0" borderId="0" xfId="0" applyFont="1" applyAlignment="1">
      <alignment horizontal="justify" wrapText="1"/>
    </xf>
    <xf numFmtId="0" fontId="15" fillId="0" borderId="0" xfId="0" applyFont="1" applyAlignment="1">
      <alignment horizontal="left" indent="2"/>
    </xf>
    <xf numFmtId="173" fontId="15" fillId="0" borderId="0" xfId="0" applyNumberFormat="1" applyFont="1" applyAlignment="1">
      <alignment horizontal="center" wrapText="1"/>
    </xf>
    <xf numFmtId="173" fontId="15" fillId="0" borderId="0" xfId="0" applyNumberFormat="1" applyFont="1" applyAlignment="1">
      <alignment horizontal="right" wrapText="1"/>
    </xf>
    <xf numFmtId="0" fontId="15" fillId="0" borderId="30" xfId="0" applyFont="1" applyBorder="1" applyAlignment="1">
      <alignment horizontal="justify" vertical="center" wrapText="1"/>
    </xf>
    <xf numFmtId="4" fontId="15" fillId="0" borderId="30" xfId="0" applyNumberFormat="1" applyFont="1" applyBorder="1" applyAlignment="1">
      <alignment wrapText="1"/>
    </xf>
    <xf numFmtId="173" fontId="15" fillId="0" borderId="0" xfId="0" applyNumberFormat="1" applyFont="1" applyAlignment="1">
      <alignment horizontal="center"/>
    </xf>
    <xf numFmtId="173" fontId="14" fillId="0" borderId="0" xfId="0" applyNumberFormat="1" applyFont="1"/>
    <xf numFmtId="2" fontId="15" fillId="0" borderId="0" xfId="0" applyNumberFormat="1" applyFont="1" applyAlignment="1">
      <alignment horizontal="right" wrapText="1"/>
    </xf>
    <xf numFmtId="0" fontId="15" fillId="0" borderId="0" xfId="4035" applyFont="1" applyAlignment="1">
      <alignment vertical="center"/>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4" fillId="0" borderId="0" xfId="0" applyFont="1" applyAlignment="1">
      <alignment horizontal="center" vertical="center" wrapText="1"/>
    </xf>
    <xf numFmtId="205" fontId="15" fillId="0" borderId="0" xfId="0" applyNumberFormat="1" applyFont="1" applyAlignment="1">
      <alignment horizontal="center" wrapText="1"/>
    </xf>
    <xf numFmtId="4" fontId="14" fillId="0" borderId="0" xfId="0" applyNumberFormat="1" applyFont="1" applyAlignment="1">
      <alignment horizontal="center" wrapText="1"/>
    </xf>
    <xf numFmtId="0" fontId="15" fillId="0" borderId="0" xfId="4867" applyFont="1" applyAlignment="1">
      <alignment horizontal="left" vertical="top" wrapText="1"/>
    </xf>
    <xf numFmtId="0" fontId="15" fillId="0" borderId="0" xfId="4905" quotePrefix="1" applyFont="1" applyAlignment="1">
      <alignment horizontal="left" vertical="top" wrapText="1"/>
    </xf>
    <xf numFmtId="204" fontId="15" fillId="0" borderId="0" xfId="4906" applyNumberFormat="1" applyFont="1" applyAlignment="1">
      <alignment vertical="top"/>
    </xf>
    <xf numFmtId="0" fontId="15" fillId="0" borderId="0" xfId="4906" applyFont="1" applyAlignment="1">
      <alignment vertical="top" wrapText="1"/>
    </xf>
    <xf numFmtId="204" fontId="15" fillId="0" borderId="0" xfId="0" applyNumberFormat="1" applyFont="1" applyAlignment="1">
      <alignment horizontal="center" vertical="center"/>
    </xf>
    <xf numFmtId="0" fontId="15" fillId="0" borderId="0" xfId="0" applyFont="1" applyAlignment="1">
      <alignment horizontal="left" vertical="center" wrapText="1"/>
    </xf>
    <xf numFmtId="0" fontId="15" fillId="0" borderId="0" xfId="200" quotePrefix="1" applyFont="1" applyAlignment="1">
      <alignment vertical="top" wrapText="1"/>
    </xf>
    <xf numFmtId="2" fontId="15" fillId="0" borderId="0" xfId="0" applyNumberFormat="1" applyFont="1" applyAlignment="1">
      <alignment horizontal="center" wrapText="1"/>
    </xf>
    <xf numFmtId="204" fontId="15" fillId="0" borderId="0" xfId="211" applyNumberFormat="1" applyFont="1" applyAlignment="1">
      <alignment vertical="top"/>
    </xf>
    <xf numFmtId="204" fontId="15" fillId="0" borderId="0" xfId="205" applyNumberFormat="1" applyFont="1" applyAlignment="1">
      <alignment vertical="top"/>
    </xf>
    <xf numFmtId="0" fontId="15" fillId="0" borderId="0" xfId="199" quotePrefix="1" applyFont="1" applyAlignment="1">
      <alignment vertical="top" wrapText="1"/>
    </xf>
    <xf numFmtId="204" fontId="15" fillId="0" borderId="0" xfId="203" applyNumberFormat="1" applyFont="1" applyAlignment="1">
      <alignment vertical="top"/>
    </xf>
    <xf numFmtId="0" fontId="15" fillId="0" borderId="0" xfId="203" applyFont="1" applyAlignment="1">
      <alignment vertical="top" wrapText="1"/>
    </xf>
    <xf numFmtId="0" fontId="15" fillId="0" borderId="0" xfId="204" applyFont="1" applyAlignment="1">
      <alignment horizontal="right"/>
    </xf>
    <xf numFmtId="204" fontId="15" fillId="0" borderId="0" xfId="206" applyNumberFormat="1" applyFont="1" applyAlignment="1">
      <alignment vertical="top"/>
    </xf>
    <xf numFmtId="0" fontId="15" fillId="0" borderId="0" xfId="206" applyFont="1" applyAlignment="1">
      <alignment vertical="top" wrapText="1"/>
    </xf>
    <xf numFmtId="204" fontId="15" fillId="0" borderId="0" xfId="207" applyNumberFormat="1" applyFont="1" applyAlignment="1">
      <alignment vertical="top"/>
    </xf>
    <xf numFmtId="0" fontId="15" fillId="0" borderId="0" xfId="207" applyFont="1" applyAlignment="1">
      <alignment vertical="top" wrapText="1"/>
    </xf>
    <xf numFmtId="204" fontId="15" fillId="0" borderId="0" xfId="208" applyNumberFormat="1" applyFont="1" applyAlignment="1">
      <alignment vertical="top"/>
    </xf>
    <xf numFmtId="0" fontId="15" fillId="0" borderId="0" xfId="208" applyFont="1" applyAlignment="1">
      <alignment vertical="top" wrapText="1"/>
    </xf>
    <xf numFmtId="0" fontId="14" fillId="0" borderId="0" xfId="199" quotePrefix="1" applyFont="1" applyAlignment="1">
      <alignment vertical="top" wrapText="1"/>
    </xf>
    <xf numFmtId="204" fontId="15" fillId="0" borderId="0" xfId="209" applyNumberFormat="1" applyFont="1" applyAlignment="1">
      <alignment vertical="top"/>
    </xf>
    <xf numFmtId="0" fontId="15" fillId="0" borderId="0" xfId="209" applyFont="1" applyAlignment="1">
      <alignment vertical="top" wrapText="1"/>
    </xf>
    <xf numFmtId="0" fontId="15" fillId="0" borderId="0" xfId="210" quotePrefix="1" applyFont="1" applyAlignment="1">
      <alignment vertical="top" wrapText="1"/>
    </xf>
    <xf numFmtId="204" fontId="15" fillId="0" borderId="0" xfId="212" applyNumberFormat="1" applyFont="1" applyAlignment="1">
      <alignment vertical="top"/>
    </xf>
    <xf numFmtId="0" fontId="15" fillId="0" borderId="0" xfId="212" applyFont="1" applyAlignment="1">
      <alignment vertical="top" wrapText="1"/>
    </xf>
    <xf numFmtId="204" fontId="15" fillId="0" borderId="0" xfId="213" applyNumberFormat="1" applyFont="1" applyAlignment="1">
      <alignment vertical="top"/>
    </xf>
    <xf numFmtId="0" fontId="15" fillId="0" borderId="0" xfId="213" applyFont="1" applyAlignment="1">
      <alignment vertical="top" wrapText="1"/>
    </xf>
    <xf numFmtId="204" fontId="15" fillId="0" borderId="0" xfId="214" applyNumberFormat="1" applyFont="1" applyAlignment="1">
      <alignment vertical="top"/>
    </xf>
    <xf numFmtId="0" fontId="15" fillId="0" borderId="0" xfId="214" applyFont="1" applyAlignment="1">
      <alignment vertical="top" wrapText="1"/>
    </xf>
    <xf numFmtId="204" fontId="15" fillId="0" borderId="0" xfId="216" applyNumberFormat="1" applyFont="1" applyAlignment="1">
      <alignment vertical="top"/>
    </xf>
    <xf numFmtId="0" fontId="15" fillId="0" borderId="0" xfId="216" applyFont="1" applyAlignment="1">
      <alignment vertical="top" wrapText="1"/>
    </xf>
    <xf numFmtId="204" fontId="15" fillId="0" borderId="0" xfId="217" applyNumberFormat="1" applyFont="1" applyAlignment="1">
      <alignment vertical="top"/>
    </xf>
    <xf numFmtId="0" fontId="15" fillId="0" borderId="0" xfId="217" applyFont="1" applyAlignment="1">
      <alignment vertical="top" wrapText="1"/>
    </xf>
    <xf numFmtId="204" fontId="15" fillId="0" borderId="0" xfId="4907" applyNumberFormat="1" applyFont="1" applyAlignment="1">
      <alignment vertical="top"/>
    </xf>
    <xf numFmtId="0" fontId="15" fillId="0" borderId="0" xfId="4908" applyFont="1" applyAlignment="1">
      <alignment vertical="top" wrapText="1"/>
    </xf>
    <xf numFmtId="0" fontId="15" fillId="0" borderId="0" xfId="4909" applyFont="1" applyAlignment="1">
      <alignment vertical="top" wrapText="1"/>
    </xf>
    <xf numFmtId="204" fontId="15" fillId="0" borderId="0" xfId="4911" applyNumberFormat="1" applyFont="1" applyAlignment="1">
      <alignment vertical="top"/>
    </xf>
    <xf numFmtId="0" fontId="188" fillId="0" borderId="0" xfId="4912" quotePrefix="1" applyFont="1" applyAlignment="1">
      <alignment horizontal="left" vertical="top" wrapText="1"/>
    </xf>
    <xf numFmtId="204" fontId="15" fillId="0" borderId="0" xfId="218" applyNumberFormat="1" applyFont="1" applyAlignment="1">
      <alignment vertical="top"/>
    </xf>
    <xf numFmtId="0" fontId="15" fillId="0" borderId="0" xfId="218" applyFont="1" applyAlignment="1">
      <alignment horizontal="left" vertical="top" wrapText="1"/>
    </xf>
    <xf numFmtId="0" fontId="15" fillId="0" borderId="0" xfId="221" applyFont="1" applyAlignment="1">
      <alignment horizontal="left" vertical="top" wrapText="1"/>
    </xf>
    <xf numFmtId="204" fontId="15" fillId="0" borderId="0" xfId="222" applyNumberFormat="1" applyFont="1" applyAlignment="1">
      <alignment vertical="top"/>
    </xf>
    <xf numFmtId="0" fontId="15" fillId="0" borderId="0" xfId="222" applyFont="1" applyAlignment="1">
      <alignment vertical="top" wrapText="1"/>
    </xf>
    <xf numFmtId="0" fontId="15" fillId="0" borderId="0" xfId="196" applyFont="1" applyAlignment="1">
      <alignment vertical="top" wrapText="1"/>
    </xf>
    <xf numFmtId="204" fontId="15" fillId="0" borderId="0" xfId="4913" applyNumberFormat="1" applyFont="1" applyAlignment="1">
      <alignment vertical="top"/>
    </xf>
    <xf numFmtId="0" fontId="15" fillId="0" borderId="0" xfId="4913" applyFont="1" applyAlignment="1">
      <alignment vertical="top" wrapText="1"/>
    </xf>
    <xf numFmtId="0" fontId="14" fillId="0" borderId="0" xfId="4914" applyFont="1" applyAlignment="1">
      <alignment wrapText="1"/>
    </xf>
    <xf numFmtId="0" fontId="15" fillId="0" borderId="0" xfId="4915" applyFont="1" applyAlignment="1">
      <alignment wrapText="1"/>
    </xf>
    <xf numFmtId="0" fontId="15" fillId="0" borderId="0" xfId="224" applyFont="1" applyAlignment="1">
      <alignment horizontal="justify"/>
    </xf>
    <xf numFmtId="204" fontId="15" fillId="0" borderId="0" xfId="195" applyNumberFormat="1" applyFont="1" applyAlignment="1">
      <alignment vertical="top"/>
    </xf>
    <xf numFmtId="0" fontId="15" fillId="0" borderId="0" xfId="230" applyFont="1" applyAlignment="1">
      <alignment vertical="top" wrapText="1"/>
    </xf>
    <xf numFmtId="164" fontId="15" fillId="0" borderId="0" xfId="0" applyNumberFormat="1" applyFont="1"/>
    <xf numFmtId="204" fontId="15" fillId="0" borderId="0" xfId="225" applyNumberFormat="1" applyFont="1" applyAlignment="1">
      <alignment vertical="top"/>
    </xf>
    <xf numFmtId="0" fontId="15" fillId="0" borderId="0" xfId="225" applyFont="1" applyAlignment="1">
      <alignment horizontal="left" vertical="top" wrapText="1"/>
    </xf>
    <xf numFmtId="204" fontId="15" fillId="0" borderId="0" xfId="226" applyNumberFormat="1" applyFont="1" applyAlignment="1">
      <alignment vertical="top"/>
    </xf>
    <xf numFmtId="0" fontId="15" fillId="0" borderId="0" xfId="226" applyFont="1" applyAlignment="1">
      <alignment horizontal="left" vertical="top" wrapText="1"/>
    </xf>
    <xf numFmtId="204" fontId="15" fillId="0" borderId="0" xfId="219" applyNumberFormat="1" applyFont="1" applyAlignment="1">
      <alignment vertical="top"/>
    </xf>
    <xf numFmtId="0" fontId="15" fillId="0" borderId="0" xfId="219" applyFont="1" applyAlignment="1">
      <alignment horizontal="left" vertical="top" wrapText="1"/>
    </xf>
    <xf numFmtId="204" fontId="15" fillId="0" borderId="0" xfId="4916" applyNumberFormat="1" applyFont="1" applyAlignment="1">
      <alignment vertical="top"/>
    </xf>
    <xf numFmtId="0" fontId="15" fillId="0" borderId="0" xfId="4916" applyFont="1" applyAlignment="1">
      <alignment vertical="top" wrapText="1"/>
    </xf>
    <xf numFmtId="204" fontId="15" fillId="0" borderId="0" xfId="4917" applyNumberFormat="1" applyFont="1" applyAlignment="1">
      <alignment vertical="top"/>
    </xf>
    <xf numFmtId="0" fontId="15" fillId="0" borderId="0" xfId="4918" applyFont="1" applyAlignment="1">
      <alignment vertical="top" wrapText="1"/>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horizontal="center" vertical="center"/>
    </xf>
    <xf numFmtId="205" fontId="14" fillId="0" borderId="0" xfId="0" applyNumberFormat="1" applyFont="1" applyAlignment="1">
      <alignment vertical="center"/>
    </xf>
    <xf numFmtId="205" fontId="15" fillId="0" borderId="0" xfId="0" applyNumberFormat="1" applyFont="1" applyAlignment="1">
      <alignment vertical="center"/>
    </xf>
    <xf numFmtId="204" fontId="15" fillId="0" borderId="0" xfId="227" applyNumberFormat="1" applyFont="1" applyAlignment="1">
      <alignment vertical="top"/>
    </xf>
    <xf numFmtId="0" fontId="15" fillId="0" borderId="0" xfId="227" applyFont="1" applyAlignment="1">
      <alignment vertical="top" wrapText="1"/>
    </xf>
    <xf numFmtId="204" fontId="15" fillId="0" borderId="0" xfId="4919" applyNumberFormat="1" applyFont="1" applyAlignment="1">
      <alignment vertical="top"/>
    </xf>
    <xf numFmtId="0" fontId="15" fillId="0" borderId="0" xfId="4920" applyFont="1" applyAlignment="1">
      <alignment vertical="top" wrapText="1"/>
    </xf>
    <xf numFmtId="204" fontId="15" fillId="0" borderId="0" xfId="4921" applyNumberFormat="1" applyFont="1" applyAlignment="1">
      <alignment vertical="top"/>
    </xf>
    <xf numFmtId="0" fontId="15" fillId="0" borderId="0" xfId="4921" applyFont="1" applyAlignment="1">
      <alignment vertical="top" wrapText="1"/>
    </xf>
    <xf numFmtId="204" fontId="15" fillId="0" borderId="0" xfId="228" applyNumberFormat="1" applyFont="1" applyAlignment="1">
      <alignment vertical="top"/>
    </xf>
    <xf numFmtId="0" fontId="15" fillId="0" borderId="0" xfId="228" applyFont="1" applyAlignment="1">
      <alignment vertical="top" wrapText="1"/>
    </xf>
    <xf numFmtId="204" fontId="15" fillId="0" borderId="0" xfId="229" applyNumberFormat="1" applyFont="1" applyAlignment="1">
      <alignment vertical="top"/>
    </xf>
    <xf numFmtId="0" fontId="15" fillId="0" borderId="0" xfId="229" applyFont="1" applyAlignment="1">
      <alignment vertical="top" wrapText="1"/>
    </xf>
    <xf numFmtId="204" fontId="15" fillId="0" borderId="0" xfId="194" applyNumberFormat="1" applyFont="1" applyAlignment="1">
      <alignment vertical="top"/>
    </xf>
    <xf numFmtId="49" fontId="15" fillId="0" borderId="0" xfId="197" applyNumberFormat="1" applyFont="1" applyAlignment="1">
      <alignment horizontal="right" vertical="top" wrapText="1"/>
    </xf>
    <xf numFmtId="0" fontId="15" fillId="0" borderId="0" xfId="198" applyFont="1" applyAlignment="1">
      <alignment vertical="top" wrapText="1"/>
    </xf>
    <xf numFmtId="0" fontId="14" fillId="0" borderId="0" xfId="229" applyFont="1" applyAlignment="1">
      <alignment vertical="top" wrapText="1"/>
    </xf>
    <xf numFmtId="0" fontId="14" fillId="0" borderId="0" xfId="230" applyFont="1" applyAlignment="1">
      <alignment vertical="top" wrapText="1"/>
    </xf>
    <xf numFmtId="164" fontId="15" fillId="0" borderId="0" xfId="62" applyFont="1" applyFill="1" applyBorder="1" applyAlignment="1">
      <alignment horizontal="center"/>
    </xf>
    <xf numFmtId="0" fontId="15" fillId="0" borderId="0" xfId="215" applyFont="1" applyAlignment="1">
      <alignment vertical="top" wrapText="1"/>
    </xf>
    <xf numFmtId="1" fontId="15" fillId="0" borderId="0" xfId="0" applyNumberFormat="1" applyFont="1" applyAlignment="1">
      <alignment horizontal="right"/>
    </xf>
    <xf numFmtId="2" fontId="15" fillId="0" borderId="0" xfId="4904" applyNumberFormat="1" applyFont="1" applyAlignment="1">
      <alignment horizontal="center"/>
    </xf>
    <xf numFmtId="0" fontId="14" fillId="0" borderId="0" xfId="215" applyFont="1" applyAlignment="1">
      <alignment vertical="top" wrapText="1"/>
    </xf>
    <xf numFmtId="9" fontId="15" fillId="0" borderId="0" xfId="0" applyNumberFormat="1" applyFont="1" applyAlignment="1">
      <alignment horizontal="center" vertical="top" wrapText="1"/>
    </xf>
    <xf numFmtId="4" fontId="14" fillId="0" borderId="0" xfId="0" applyNumberFormat="1" applyFont="1" applyAlignment="1">
      <alignment vertical="center" wrapText="1"/>
    </xf>
    <xf numFmtId="0" fontId="15" fillId="0" borderId="0" xfId="0" applyFont="1" applyAlignment="1">
      <alignment horizontal="center" vertical="center"/>
    </xf>
    <xf numFmtId="0" fontId="14" fillId="0" borderId="0" xfId="0" applyFont="1" applyAlignment="1">
      <alignment horizontal="left" vertical="center" wrapText="1"/>
    </xf>
    <xf numFmtId="170" fontId="15" fillId="0" borderId="0" xfId="0" applyNumberFormat="1" applyFont="1" applyAlignment="1">
      <alignment wrapText="1"/>
    </xf>
    <xf numFmtId="0" fontId="15" fillId="0" borderId="0" xfId="0" applyFont="1" applyAlignment="1">
      <alignment horizontal="left" vertical="center" wrapText="1" indent="2"/>
    </xf>
    <xf numFmtId="172" fontId="12" fillId="0" borderId="0" xfId="0" applyNumberFormat="1" applyFont="1"/>
    <xf numFmtId="0" fontId="35" fillId="0" borderId="0" xfId="0" applyFont="1"/>
    <xf numFmtId="172" fontId="35" fillId="0" borderId="0" xfId="0" applyNumberFormat="1" applyFont="1"/>
    <xf numFmtId="0" fontId="35" fillId="0" borderId="12" xfId="0" applyFont="1" applyBorder="1"/>
    <xf numFmtId="172" fontId="35" fillId="0" borderId="12" xfId="0" applyNumberFormat="1" applyFont="1" applyBorder="1"/>
    <xf numFmtId="0" fontId="37" fillId="0" borderId="0" xfId="0" applyFont="1" applyAlignment="1">
      <alignment horizontal="left" vertical="center"/>
    </xf>
    <xf numFmtId="0" fontId="37" fillId="0" borderId="0" xfId="0" applyFont="1" applyAlignment="1">
      <alignment horizontal="left" vertical="top" wrapText="1"/>
    </xf>
    <xf numFmtId="0" fontId="37" fillId="0" borderId="0" xfId="0" applyFont="1" applyAlignment="1">
      <alignment horizontal="left" vertical="top"/>
    </xf>
    <xf numFmtId="0" fontId="0" fillId="0" borderId="0" xfId="0"/>
    <xf numFmtId="49" fontId="37" fillId="0" borderId="0" xfId="0" applyNumberFormat="1" applyFont="1" applyAlignment="1">
      <alignment horizontal="left" vertical="center"/>
    </xf>
    <xf numFmtId="49" fontId="37" fillId="0" borderId="0" xfId="3987" applyNumberFormat="1" applyAlignment="1">
      <alignment horizontal="left" vertical="top" wrapText="1"/>
    </xf>
    <xf numFmtId="0" fontId="15" fillId="0" borderId="0" xfId="0" applyFont="1" applyAlignment="1">
      <alignment horizontal="left" vertical="top" wrapText="1"/>
    </xf>
    <xf numFmtId="0" fontId="187" fillId="0" borderId="0" xfId="0" applyFont="1" applyAlignment="1">
      <alignment horizontal="justify" vertical="top" wrapText="1"/>
    </xf>
    <xf numFmtId="0" fontId="12" fillId="0" borderId="0" xfId="104" applyFont="1" applyAlignment="1">
      <alignment horizontal="left" vertical="top" wrapText="1"/>
    </xf>
    <xf numFmtId="173" fontId="12" fillId="0" borderId="0" xfId="104" applyNumberFormat="1" applyFont="1" applyAlignment="1">
      <alignment horizontal="right" wrapText="1"/>
    </xf>
    <xf numFmtId="49" fontId="37" fillId="0" borderId="0" xfId="64" applyNumberFormat="1" applyFont="1" applyAlignment="1">
      <alignment horizontal="left" vertical="top" wrapText="1"/>
    </xf>
    <xf numFmtId="49" fontId="37" fillId="0" borderId="0" xfId="64" applyNumberFormat="1" applyFont="1" applyAlignment="1">
      <alignment horizontal="left" vertical="top"/>
    </xf>
    <xf numFmtId="49" fontId="37" fillId="0" borderId="0" xfId="64" applyNumberFormat="1" applyFont="1" applyAlignment="1">
      <alignment vertical="top" wrapText="1"/>
    </xf>
    <xf numFmtId="49" fontId="37" fillId="0" borderId="0" xfId="64" applyNumberFormat="1" applyFont="1" applyAlignment="1">
      <alignment horizontal="left" vertical="justify" wrapText="1"/>
    </xf>
    <xf numFmtId="49" fontId="40" fillId="0" borderId="0" xfId="381" applyNumberFormat="1" applyFont="1" applyAlignment="1">
      <alignment horizontal="left" vertical="top" wrapText="1"/>
    </xf>
    <xf numFmtId="0" fontId="40" fillId="0" borderId="0" xfId="3962" applyFont="1" applyAlignment="1" applyProtection="1">
      <alignment horizontal="left" vertical="top" wrapText="1"/>
      <protection hidden="1"/>
    </xf>
    <xf numFmtId="0" fontId="40" fillId="0" borderId="0" xfId="3963" applyFont="1" applyAlignment="1" applyProtection="1">
      <alignment horizontal="left" vertical="top" wrapText="1"/>
      <protection hidden="1"/>
    </xf>
    <xf numFmtId="0" fontId="40" fillId="0" borderId="0" xfId="3965" applyFont="1" applyAlignment="1" applyProtection="1">
      <alignment horizontal="left" vertical="top" wrapText="1"/>
      <protection hidden="1"/>
    </xf>
    <xf numFmtId="0" fontId="40" fillId="0" borderId="0" xfId="3966" applyFont="1" applyAlignment="1" applyProtection="1">
      <alignment horizontal="left" vertical="top" wrapText="1"/>
      <protection hidden="1"/>
    </xf>
    <xf numFmtId="0" fontId="15" fillId="0" borderId="0" xfId="92" applyFont="1" applyAlignment="1">
      <alignment horizontal="left" vertical="justify"/>
    </xf>
  </cellXfs>
  <cellStyles count="4926">
    <cellStyle name="_ANTENE" xfId="250"/>
    <cellStyle name="_DGC-UDOB-025-08  ELLABO - HOTEL MARIJAN" xfId="297"/>
    <cellStyle name="_Hotel Marjan - TROŠKOVNIK" xfId="253"/>
    <cellStyle name="_Procjena opremanja Busevec - Lekenik" xfId="254"/>
    <cellStyle name="_STAMBENI DIO" xfId="419"/>
    <cellStyle name="_STAMBENI DIO_02_FPZ_borongaj_69 -TENDER_TROŠKOVNIK_ELEKTRO_FAZA_1U_L" xfId="242"/>
    <cellStyle name="_troškovnik" xfId="303"/>
    <cellStyle name="20 % – Poudarek1" xfId="298"/>
    <cellStyle name="20 % – Poudarek2" xfId="405"/>
    <cellStyle name="20 % – Poudarek3" xfId="305"/>
    <cellStyle name="20 % – Poudarek4" xfId="304"/>
    <cellStyle name="20 % – Poudarek5" xfId="307"/>
    <cellStyle name="20 % – Poudarek6" xfId="248"/>
    <cellStyle name="20 % - Accent1" xfId="252"/>
    <cellStyle name="20 % - Accent2" xfId="251"/>
    <cellStyle name="20 % - Accent3" xfId="302"/>
    <cellStyle name="20 % - Accent4" xfId="299"/>
    <cellStyle name="20 % - Accent5" xfId="421"/>
    <cellStyle name="20 % - Accent6" xfId="257"/>
    <cellStyle name="20% - Accent1" xfId="134" builtinId="30" customBuiltin="1"/>
    <cellStyle name="20% - Accent1 10" xfId="418"/>
    <cellStyle name="20% - Accent1 11" xfId="240"/>
    <cellStyle name="20% - Accent1 12" xfId="243"/>
    <cellStyle name="20% - Accent1 13" xfId="424"/>
    <cellStyle name="20% - Accent1 14" xfId="417"/>
    <cellStyle name="20% - Accent1 15" xfId="398"/>
    <cellStyle name="20% - Accent1 16" xfId="256"/>
    <cellStyle name="20% - Accent1 2" xfId="3"/>
    <cellStyle name="20% - Accent1 2 10" xfId="241"/>
    <cellStyle name="20% - Accent1 2 11" xfId="308"/>
    <cellStyle name="20% - Accent1 2 12" xfId="300"/>
    <cellStyle name="20% - Accent1 2 13" xfId="306"/>
    <cellStyle name="20% - Accent1 2 14" xfId="258"/>
    <cellStyle name="20% - Accent1 2 15" xfId="409"/>
    <cellStyle name="20% - Accent1 2 16" xfId="426"/>
    <cellStyle name="20% - Accent1 2 17" xfId="408"/>
    <cellStyle name="20% - Accent1 2 18" xfId="238"/>
    <cellStyle name="20% - Accent1 2 19" xfId="411"/>
    <cellStyle name="20% - Accent1 2 2" xfId="399"/>
    <cellStyle name="20% - Accent1 2 20" xfId="404"/>
    <cellStyle name="20% - Accent1 2 21" xfId="397"/>
    <cellStyle name="20% - Accent1 2 22" xfId="407"/>
    <cellStyle name="20% - Accent1 2 23" xfId="246"/>
    <cellStyle name="20% - Accent1 2 24" xfId="428"/>
    <cellStyle name="20% - Accent1 2 25" xfId="239"/>
    <cellStyle name="20% - Accent1 2 26" xfId="249"/>
    <cellStyle name="20% - Accent1 2 27" xfId="400"/>
    <cellStyle name="20% - Accent1 2 28" xfId="401"/>
    <cellStyle name="20% - Accent1 2 29" xfId="416"/>
    <cellStyle name="20% - Accent1 2 3" xfId="415"/>
    <cellStyle name="20% - Accent1 2 30" xfId="410"/>
    <cellStyle name="20% - Accent1 2 31" xfId="247"/>
    <cellStyle name="20% - Accent1 2 32" xfId="425"/>
    <cellStyle name="20% - Accent1 2 33" xfId="412"/>
    <cellStyle name="20% - Accent1 2 4" xfId="301"/>
    <cellStyle name="20% - Accent1 2 5" xfId="245"/>
    <cellStyle name="20% - Accent1 2 6" xfId="427"/>
    <cellStyle name="20% - Accent1 2 7" xfId="402"/>
    <cellStyle name="20% - Accent1 2 8" xfId="422"/>
    <cellStyle name="20% - Accent1 2 9" xfId="413"/>
    <cellStyle name="20% - Accent1 3" xfId="414"/>
    <cellStyle name="20% - Accent1 3 10" xfId="423"/>
    <cellStyle name="20% - Accent1 3 11" xfId="237"/>
    <cellStyle name="20% - Accent1 3 12" xfId="403"/>
    <cellStyle name="20% - Accent1 3 13" xfId="244"/>
    <cellStyle name="20% - Accent1 3 14" xfId="429"/>
    <cellStyle name="20% - Accent1 3 15" xfId="430"/>
    <cellStyle name="20% - Accent1 3 16" xfId="431"/>
    <cellStyle name="20% - Accent1 3 17" xfId="432"/>
    <cellStyle name="20% - Accent1 3 18" xfId="433"/>
    <cellStyle name="20% - Accent1 3 19" xfId="434"/>
    <cellStyle name="20% - Accent1 3 2" xfId="435"/>
    <cellStyle name="20% - Accent1 3 20" xfId="436"/>
    <cellStyle name="20% - Accent1 3 21" xfId="437"/>
    <cellStyle name="20% - Accent1 3 22" xfId="438"/>
    <cellStyle name="20% - Accent1 3 23" xfId="439"/>
    <cellStyle name="20% - Accent1 3 24" xfId="440"/>
    <cellStyle name="20% - Accent1 3 3" xfId="441"/>
    <cellStyle name="20% - Accent1 3 4" xfId="442"/>
    <cellStyle name="20% - Accent1 3 5" xfId="443"/>
    <cellStyle name="20% - Accent1 3 6" xfId="444"/>
    <cellStyle name="20% - Accent1 3 7" xfId="445"/>
    <cellStyle name="20% - Accent1 3 8" xfId="446"/>
    <cellStyle name="20% - Accent1 3 9" xfId="447"/>
    <cellStyle name="20% - Accent1 4" xfId="448"/>
    <cellStyle name="20% - Accent1 4 10" xfId="449"/>
    <cellStyle name="20% - Accent1 4 11" xfId="450"/>
    <cellStyle name="20% - Accent1 4 12" xfId="451"/>
    <cellStyle name="20% - Accent1 4 13" xfId="452"/>
    <cellStyle name="20% - Accent1 4 14" xfId="453"/>
    <cellStyle name="20% - Accent1 4 15" xfId="454"/>
    <cellStyle name="20% - Accent1 4 16" xfId="455"/>
    <cellStyle name="20% - Accent1 4 17" xfId="456"/>
    <cellStyle name="20% - Accent1 4 18" xfId="457"/>
    <cellStyle name="20% - Accent1 4 19" xfId="458"/>
    <cellStyle name="20% - Accent1 4 2" xfId="459"/>
    <cellStyle name="20% - Accent1 4 20" xfId="460"/>
    <cellStyle name="20% - Accent1 4 21" xfId="461"/>
    <cellStyle name="20% - Accent1 4 3" xfId="462"/>
    <cellStyle name="20% - Accent1 4 4" xfId="463"/>
    <cellStyle name="20% - Accent1 4 5" xfId="464"/>
    <cellStyle name="20% - Accent1 4 6" xfId="465"/>
    <cellStyle name="20% - Accent1 4 7" xfId="466"/>
    <cellStyle name="20% - Accent1 4 8" xfId="467"/>
    <cellStyle name="20% - Accent1 4 9" xfId="468"/>
    <cellStyle name="20% - Accent1 5" xfId="469"/>
    <cellStyle name="20% - Accent1 6" xfId="470"/>
    <cellStyle name="20% - Accent1 7" xfId="471"/>
    <cellStyle name="20% - Accent1 8" xfId="472"/>
    <cellStyle name="20% - Accent1 9" xfId="473"/>
    <cellStyle name="20% - Accent2" xfId="136" builtinId="34" customBuiltin="1"/>
    <cellStyle name="20% - Accent2 10" xfId="474"/>
    <cellStyle name="20% - Accent2 11" xfId="475"/>
    <cellStyle name="20% - Accent2 12" xfId="476"/>
    <cellStyle name="20% - Accent2 13" xfId="477"/>
    <cellStyle name="20% - Accent2 14" xfId="478"/>
    <cellStyle name="20% - Accent2 15" xfId="479"/>
    <cellStyle name="20% - Accent2 16" xfId="480"/>
    <cellStyle name="20% - Accent2 2" xfId="4"/>
    <cellStyle name="20% - Accent2 2 10" xfId="482"/>
    <cellStyle name="20% - Accent2 2 11" xfId="483"/>
    <cellStyle name="20% - Accent2 2 12" xfId="484"/>
    <cellStyle name="20% - Accent2 2 13" xfId="485"/>
    <cellStyle name="20% - Accent2 2 14" xfId="486"/>
    <cellStyle name="20% - Accent2 2 15" xfId="487"/>
    <cellStyle name="20% - Accent2 2 16" xfId="488"/>
    <cellStyle name="20% - Accent2 2 17" xfId="489"/>
    <cellStyle name="20% - Accent2 2 18" xfId="490"/>
    <cellStyle name="20% - Accent2 2 19" xfId="491"/>
    <cellStyle name="20% - Accent2 2 2" xfId="492"/>
    <cellStyle name="20% - Accent2 2 20" xfId="493"/>
    <cellStyle name="20% - Accent2 2 21" xfId="494"/>
    <cellStyle name="20% - Accent2 2 22" xfId="495"/>
    <cellStyle name="20% - Accent2 2 23" xfId="496"/>
    <cellStyle name="20% - Accent2 2 24" xfId="497"/>
    <cellStyle name="20% - Accent2 2 25" xfId="498"/>
    <cellStyle name="20% - Accent2 2 26" xfId="499"/>
    <cellStyle name="20% - Accent2 2 27" xfId="500"/>
    <cellStyle name="20% - Accent2 2 28" xfId="501"/>
    <cellStyle name="20% - Accent2 2 29" xfId="502"/>
    <cellStyle name="20% - Accent2 2 3" xfId="503"/>
    <cellStyle name="20% - Accent2 2 30" xfId="504"/>
    <cellStyle name="20% - Accent2 2 31" xfId="505"/>
    <cellStyle name="20% - Accent2 2 32" xfId="506"/>
    <cellStyle name="20% - Accent2 2 33" xfId="481"/>
    <cellStyle name="20% - Accent2 2 4" xfId="507"/>
    <cellStyle name="20% - Accent2 2 5" xfId="508"/>
    <cellStyle name="20% - Accent2 2 6" xfId="509"/>
    <cellStyle name="20% - Accent2 2 7" xfId="510"/>
    <cellStyle name="20% - Accent2 2 8" xfId="511"/>
    <cellStyle name="20% - Accent2 2 9" xfId="512"/>
    <cellStyle name="20% - Accent2 3" xfId="513"/>
    <cellStyle name="20% - Accent2 3 10" xfId="514"/>
    <cellStyle name="20% - Accent2 3 11" xfId="515"/>
    <cellStyle name="20% - Accent2 3 12" xfId="516"/>
    <cellStyle name="20% - Accent2 3 13" xfId="517"/>
    <cellStyle name="20% - Accent2 3 14" xfId="518"/>
    <cellStyle name="20% - Accent2 3 15" xfId="519"/>
    <cellStyle name="20% - Accent2 3 16" xfId="520"/>
    <cellStyle name="20% - Accent2 3 17" xfId="521"/>
    <cellStyle name="20% - Accent2 3 18" xfId="522"/>
    <cellStyle name="20% - Accent2 3 19" xfId="523"/>
    <cellStyle name="20% - Accent2 3 2" xfId="524"/>
    <cellStyle name="20% - Accent2 3 20" xfId="525"/>
    <cellStyle name="20% - Accent2 3 21" xfId="526"/>
    <cellStyle name="20% - Accent2 3 22" xfId="527"/>
    <cellStyle name="20% - Accent2 3 23" xfId="528"/>
    <cellStyle name="20% - Accent2 3 24" xfId="529"/>
    <cellStyle name="20% - Accent2 3 3" xfId="530"/>
    <cellStyle name="20% - Accent2 3 4" xfId="531"/>
    <cellStyle name="20% - Accent2 3 5" xfId="532"/>
    <cellStyle name="20% - Accent2 3 6" xfId="533"/>
    <cellStyle name="20% - Accent2 3 7" xfId="534"/>
    <cellStyle name="20% - Accent2 3 8" xfId="535"/>
    <cellStyle name="20% - Accent2 3 9" xfId="536"/>
    <cellStyle name="20% - Accent2 4" xfId="537"/>
    <cellStyle name="20% - Accent2 4 10" xfId="538"/>
    <cellStyle name="20% - Accent2 4 11" xfId="539"/>
    <cellStyle name="20% - Accent2 4 12" xfId="540"/>
    <cellStyle name="20% - Accent2 4 13" xfId="541"/>
    <cellStyle name="20% - Accent2 4 14" xfId="542"/>
    <cellStyle name="20% - Accent2 4 15" xfId="543"/>
    <cellStyle name="20% - Accent2 4 16" xfId="544"/>
    <cellStyle name="20% - Accent2 4 17" xfId="545"/>
    <cellStyle name="20% - Accent2 4 18" xfId="546"/>
    <cellStyle name="20% - Accent2 4 19" xfId="547"/>
    <cellStyle name="20% - Accent2 4 2" xfId="548"/>
    <cellStyle name="20% - Accent2 4 20" xfId="549"/>
    <cellStyle name="20% - Accent2 4 21" xfId="550"/>
    <cellStyle name="20% - Accent2 4 3" xfId="551"/>
    <cellStyle name="20% - Accent2 4 4" xfId="552"/>
    <cellStyle name="20% - Accent2 4 5" xfId="553"/>
    <cellStyle name="20% - Accent2 4 6" xfId="554"/>
    <cellStyle name="20% - Accent2 4 7" xfId="555"/>
    <cellStyle name="20% - Accent2 4 8" xfId="556"/>
    <cellStyle name="20% - Accent2 4 9" xfId="557"/>
    <cellStyle name="20% - Accent2 5" xfId="558"/>
    <cellStyle name="20% - Accent2 6" xfId="559"/>
    <cellStyle name="20% - Accent2 7" xfId="560"/>
    <cellStyle name="20% - Accent2 8" xfId="561"/>
    <cellStyle name="20% - Accent2 9" xfId="562"/>
    <cellStyle name="20% - Accent3" xfId="139" builtinId="38" customBuiltin="1"/>
    <cellStyle name="20% - Accent3 10" xfId="563"/>
    <cellStyle name="20% - Accent3 11" xfId="564"/>
    <cellStyle name="20% - Accent3 12" xfId="565"/>
    <cellStyle name="20% - Accent3 13" xfId="566"/>
    <cellStyle name="20% - Accent3 14" xfId="567"/>
    <cellStyle name="20% - Accent3 15" xfId="568"/>
    <cellStyle name="20% - Accent3 16" xfId="569"/>
    <cellStyle name="20% - Accent3 2" xfId="5"/>
    <cellStyle name="20% - Accent3 2 10" xfId="571"/>
    <cellStyle name="20% - Accent3 2 11" xfId="572"/>
    <cellStyle name="20% - Accent3 2 12" xfId="573"/>
    <cellStyle name="20% - Accent3 2 13" xfId="574"/>
    <cellStyle name="20% - Accent3 2 14" xfId="575"/>
    <cellStyle name="20% - Accent3 2 15" xfId="576"/>
    <cellStyle name="20% - Accent3 2 16" xfId="577"/>
    <cellStyle name="20% - Accent3 2 17" xfId="578"/>
    <cellStyle name="20% - Accent3 2 18" xfId="579"/>
    <cellStyle name="20% - Accent3 2 19" xfId="580"/>
    <cellStyle name="20% - Accent3 2 2" xfId="581"/>
    <cellStyle name="20% - Accent3 2 20" xfId="582"/>
    <cellStyle name="20% - Accent3 2 21" xfId="583"/>
    <cellStyle name="20% - Accent3 2 22" xfId="584"/>
    <cellStyle name="20% - Accent3 2 23" xfId="585"/>
    <cellStyle name="20% - Accent3 2 24" xfId="586"/>
    <cellStyle name="20% - Accent3 2 25" xfId="587"/>
    <cellStyle name="20% - Accent3 2 26" xfId="588"/>
    <cellStyle name="20% - Accent3 2 27" xfId="589"/>
    <cellStyle name="20% - Accent3 2 28" xfId="590"/>
    <cellStyle name="20% - Accent3 2 29" xfId="591"/>
    <cellStyle name="20% - Accent3 2 3" xfId="592"/>
    <cellStyle name="20% - Accent3 2 30" xfId="593"/>
    <cellStyle name="20% - Accent3 2 31" xfId="594"/>
    <cellStyle name="20% - Accent3 2 32" xfId="595"/>
    <cellStyle name="20% - Accent3 2 33" xfId="570"/>
    <cellStyle name="20% - Accent3 2 4" xfId="596"/>
    <cellStyle name="20% - Accent3 2 5" xfId="597"/>
    <cellStyle name="20% - Accent3 2 6" xfId="598"/>
    <cellStyle name="20% - Accent3 2 7" xfId="599"/>
    <cellStyle name="20% - Accent3 2 8" xfId="600"/>
    <cellStyle name="20% - Accent3 2 9" xfId="601"/>
    <cellStyle name="20% - Accent3 3" xfId="602"/>
    <cellStyle name="20% - Accent3 3 10" xfId="603"/>
    <cellStyle name="20% - Accent3 3 11" xfId="604"/>
    <cellStyle name="20% - Accent3 3 12" xfId="605"/>
    <cellStyle name="20% - Accent3 3 13" xfId="606"/>
    <cellStyle name="20% - Accent3 3 14" xfId="607"/>
    <cellStyle name="20% - Accent3 3 15" xfId="608"/>
    <cellStyle name="20% - Accent3 3 16" xfId="609"/>
    <cellStyle name="20% - Accent3 3 17" xfId="610"/>
    <cellStyle name="20% - Accent3 3 18" xfId="611"/>
    <cellStyle name="20% - Accent3 3 19" xfId="612"/>
    <cellStyle name="20% - Accent3 3 2" xfId="613"/>
    <cellStyle name="20% - Accent3 3 20" xfId="614"/>
    <cellStyle name="20% - Accent3 3 21" xfId="615"/>
    <cellStyle name="20% - Accent3 3 22" xfId="616"/>
    <cellStyle name="20% - Accent3 3 23" xfId="617"/>
    <cellStyle name="20% - Accent3 3 24" xfId="618"/>
    <cellStyle name="20% - Accent3 3 3" xfId="619"/>
    <cellStyle name="20% - Accent3 3 4" xfId="620"/>
    <cellStyle name="20% - Accent3 3 5" xfId="621"/>
    <cellStyle name="20% - Accent3 3 6" xfId="622"/>
    <cellStyle name="20% - Accent3 3 7" xfId="623"/>
    <cellStyle name="20% - Accent3 3 8" xfId="624"/>
    <cellStyle name="20% - Accent3 3 9" xfId="625"/>
    <cellStyle name="20% - Accent3 4" xfId="626"/>
    <cellStyle name="20% - Accent3 4 10" xfId="627"/>
    <cellStyle name="20% - Accent3 4 11" xfId="628"/>
    <cellStyle name="20% - Accent3 4 12" xfId="629"/>
    <cellStyle name="20% - Accent3 4 13" xfId="630"/>
    <cellStyle name="20% - Accent3 4 14" xfId="631"/>
    <cellStyle name="20% - Accent3 4 15" xfId="632"/>
    <cellStyle name="20% - Accent3 4 16" xfId="633"/>
    <cellStyle name="20% - Accent3 4 17" xfId="634"/>
    <cellStyle name="20% - Accent3 4 18" xfId="635"/>
    <cellStyle name="20% - Accent3 4 19" xfId="636"/>
    <cellStyle name="20% - Accent3 4 2" xfId="637"/>
    <cellStyle name="20% - Accent3 4 20" xfId="638"/>
    <cellStyle name="20% - Accent3 4 21" xfId="639"/>
    <cellStyle name="20% - Accent3 4 3" xfId="640"/>
    <cellStyle name="20% - Accent3 4 4" xfId="641"/>
    <cellStyle name="20% - Accent3 4 5" xfId="642"/>
    <cellStyle name="20% - Accent3 4 6" xfId="643"/>
    <cellStyle name="20% - Accent3 4 7" xfId="644"/>
    <cellStyle name="20% - Accent3 4 8" xfId="645"/>
    <cellStyle name="20% - Accent3 4 9" xfId="646"/>
    <cellStyle name="20% - Accent3 5" xfId="647"/>
    <cellStyle name="20% - Accent3 6" xfId="648"/>
    <cellStyle name="20% - Accent3 7" xfId="649"/>
    <cellStyle name="20% - Accent3 8" xfId="650"/>
    <cellStyle name="20% - Accent3 9" xfId="651"/>
    <cellStyle name="20% - Accent4" xfId="142" builtinId="42" customBuiltin="1"/>
    <cellStyle name="20% - Accent4 10" xfId="652"/>
    <cellStyle name="20% - Accent4 11" xfId="653"/>
    <cellStyle name="20% - Accent4 12" xfId="654"/>
    <cellStyle name="20% - Accent4 13" xfId="655"/>
    <cellStyle name="20% - Accent4 14" xfId="656"/>
    <cellStyle name="20% - Accent4 15" xfId="657"/>
    <cellStyle name="20% - Accent4 16" xfId="658"/>
    <cellStyle name="20% - Accent4 2" xfId="6"/>
    <cellStyle name="20% - Accent4 2 10" xfId="660"/>
    <cellStyle name="20% - Accent4 2 11" xfId="661"/>
    <cellStyle name="20% - Accent4 2 12" xfId="662"/>
    <cellStyle name="20% - Accent4 2 13" xfId="663"/>
    <cellStyle name="20% - Accent4 2 14" xfId="664"/>
    <cellStyle name="20% - Accent4 2 15" xfId="665"/>
    <cellStyle name="20% - Accent4 2 16" xfId="666"/>
    <cellStyle name="20% - Accent4 2 17" xfId="667"/>
    <cellStyle name="20% - Accent4 2 18" xfId="668"/>
    <cellStyle name="20% - Accent4 2 19" xfId="669"/>
    <cellStyle name="20% - Accent4 2 2" xfId="670"/>
    <cellStyle name="20% - Accent4 2 20" xfId="671"/>
    <cellStyle name="20% - Accent4 2 21" xfId="672"/>
    <cellStyle name="20% - Accent4 2 22" xfId="673"/>
    <cellStyle name="20% - Accent4 2 23" xfId="674"/>
    <cellStyle name="20% - Accent4 2 24" xfId="675"/>
    <cellStyle name="20% - Accent4 2 25" xfId="676"/>
    <cellStyle name="20% - Accent4 2 26" xfId="677"/>
    <cellStyle name="20% - Accent4 2 27" xfId="678"/>
    <cellStyle name="20% - Accent4 2 28" xfId="679"/>
    <cellStyle name="20% - Accent4 2 29" xfId="680"/>
    <cellStyle name="20% - Accent4 2 3" xfId="681"/>
    <cellStyle name="20% - Accent4 2 30" xfId="682"/>
    <cellStyle name="20% - Accent4 2 31" xfId="683"/>
    <cellStyle name="20% - Accent4 2 32" xfId="684"/>
    <cellStyle name="20% - Accent4 2 33" xfId="659"/>
    <cellStyle name="20% - Accent4 2 4" xfId="685"/>
    <cellStyle name="20% - Accent4 2 5" xfId="686"/>
    <cellStyle name="20% - Accent4 2 6" xfId="687"/>
    <cellStyle name="20% - Accent4 2 7" xfId="688"/>
    <cellStyle name="20% - Accent4 2 8" xfId="689"/>
    <cellStyle name="20% - Accent4 2 9" xfId="690"/>
    <cellStyle name="20% - Accent4 3" xfId="691"/>
    <cellStyle name="20% - Accent4 3 10" xfId="692"/>
    <cellStyle name="20% - Accent4 3 11" xfId="693"/>
    <cellStyle name="20% - Accent4 3 12" xfId="694"/>
    <cellStyle name="20% - Accent4 3 13" xfId="695"/>
    <cellStyle name="20% - Accent4 3 14" xfId="696"/>
    <cellStyle name="20% - Accent4 3 15" xfId="697"/>
    <cellStyle name="20% - Accent4 3 16" xfId="698"/>
    <cellStyle name="20% - Accent4 3 17" xfId="699"/>
    <cellStyle name="20% - Accent4 3 18" xfId="700"/>
    <cellStyle name="20% - Accent4 3 19" xfId="701"/>
    <cellStyle name="20% - Accent4 3 2" xfId="702"/>
    <cellStyle name="20% - Accent4 3 20" xfId="703"/>
    <cellStyle name="20% - Accent4 3 21" xfId="704"/>
    <cellStyle name="20% - Accent4 3 22" xfId="705"/>
    <cellStyle name="20% - Accent4 3 23" xfId="706"/>
    <cellStyle name="20% - Accent4 3 24" xfId="707"/>
    <cellStyle name="20% - Accent4 3 3" xfId="708"/>
    <cellStyle name="20% - Accent4 3 4" xfId="709"/>
    <cellStyle name="20% - Accent4 3 5" xfId="710"/>
    <cellStyle name="20% - Accent4 3 6" xfId="711"/>
    <cellStyle name="20% - Accent4 3 7" xfId="712"/>
    <cellStyle name="20% - Accent4 3 8" xfId="713"/>
    <cellStyle name="20% - Accent4 3 9" xfId="714"/>
    <cellStyle name="20% - Accent4 4" xfId="715"/>
    <cellStyle name="20% - Accent4 4 10" xfId="716"/>
    <cellStyle name="20% - Accent4 4 11" xfId="717"/>
    <cellStyle name="20% - Accent4 4 12" xfId="718"/>
    <cellStyle name="20% - Accent4 4 13" xfId="719"/>
    <cellStyle name="20% - Accent4 4 14" xfId="720"/>
    <cellStyle name="20% - Accent4 4 15" xfId="721"/>
    <cellStyle name="20% - Accent4 4 16" xfId="722"/>
    <cellStyle name="20% - Accent4 4 17" xfId="723"/>
    <cellStyle name="20% - Accent4 4 18" xfId="724"/>
    <cellStyle name="20% - Accent4 4 19" xfId="725"/>
    <cellStyle name="20% - Accent4 4 2" xfId="726"/>
    <cellStyle name="20% - Accent4 4 20" xfId="727"/>
    <cellStyle name="20% - Accent4 4 21" xfId="728"/>
    <cellStyle name="20% - Accent4 4 3" xfId="729"/>
    <cellStyle name="20% - Accent4 4 4" xfId="730"/>
    <cellStyle name="20% - Accent4 4 5" xfId="731"/>
    <cellStyle name="20% - Accent4 4 6" xfId="732"/>
    <cellStyle name="20% - Accent4 4 7" xfId="733"/>
    <cellStyle name="20% - Accent4 4 8" xfId="734"/>
    <cellStyle name="20% - Accent4 4 9" xfId="735"/>
    <cellStyle name="20% - Accent4 5" xfId="736"/>
    <cellStyle name="20% - Accent4 6" xfId="737"/>
    <cellStyle name="20% - Accent4 7" xfId="738"/>
    <cellStyle name="20% - Accent4 8" xfId="739"/>
    <cellStyle name="20% - Accent4 9" xfId="740"/>
    <cellStyle name="20% - Accent5" xfId="145" builtinId="46" customBuiltin="1"/>
    <cellStyle name="20% - Accent5 10" xfId="741"/>
    <cellStyle name="20% - Accent5 11" xfId="742"/>
    <cellStyle name="20% - Accent5 12" xfId="743"/>
    <cellStyle name="20% - Accent5 13" xfId="744"/>
    <cellStyle name="20% - Accent5 14" xfId="745"/>
    <cellStyle name="20% - Accent5 15" xfId="746"/>
    <cellStyle name="20% - Accent5 16" xfId="747"/>
    <cellStyle name="20% - Accent5 2" xfId="7"/>
    <cellStyle name="20% - Accent5 2 10" xfId="749"/>
    <cellStyle name="20% - Accent5 2 11" xfId="750"/>
    <cellStyle name="20% - Accent5 2 12" xfId="751"/>
    <cellStyle name="20% - Accent5 2 13" xfId="752"/>
    <cellStyle name="20% - Accent5 2 14" xfId="753"/>
    <cellStyle name="20% - Accent5 2 15" xfId="754"/>
    <cellStyle name="20% - Accent5 2 16" xfId="755"/>
    <cellStyle name="20% - Accent5 2 17" xfId="756"/>
    <cellStyle name="20% - Accent5 2 18" xfId="757"/>
    <cellStyle name="20% - Accent5 2 19" xfId="758"/>
    <cellStyle name="20% - Accent5 2 2" xfId="759"/>
    <cellStyle name="20% - Accent5 2 20" xfId="760"/>
    <cellStyle name="20% - Accent5 2 21" xfId="761"/>
    <cellStyle name="20% - Accent5 2 22" xfId="762"/>
    <cellStyle name="20% - Accent5 2 23" xfId="763"/>
    <cellStyle name="20% - Accent5 2 24" xfId="764"/>
    <cellStyle name="20% - Accent5 2 25" xfId="765"/>
    <cellStyle name="20% - Accent5 2 26" xfId="766"/>
    <cellStyle name="20% - Accent5 2 27" xfId="767"/>
    <cellStyle name="20% - Accent5 2 28" xfId="768"/>
    <cellStyle name="20% - Accent5 2 29" xfId="769"/>
    <cellStyle name="20% - Accent5 2 3" xfId="770"/>
    <cellStyle name="20% - Accent5 2 30" xfId="771"/>
    <cellStyle name="20% - Accent5 2 31" xfId="772"/>
    <cellStyle name="20% - Accent5 2 32" xfId="773"/>
    <cellStyle name="20% - Accent5 2 33" xfId="748"/>
    <cellStyle name="20% - Accent5 2 4" xfId="774"/>
    <cellStyle name="20% - Accent5 2 5" xfId="775"/>
    <cellStyle name="20% - Accent5 2 6" xfId="776"/>
    <cellStyle name="20% - Accent5 2 7" xfId="777"/>
    <cellStyle name="20% - Accent5 2 8" xfId="778"/>
    <cellStyle name="20% - Accent5 2 9" xfId="779"/>
    <cellStyle name="20% - Accent5 3" xfId="780"/>
    <cellStyle name="20% - Accent5 3 10" xfId="781"/>
    <cellStyle name="20% - Accent5 3 11" xfId="782"/>
    <cellStyle name="20% - Accent5 3 12" xfId="783"/>
    <cellStyle name="20% - Accent5 3 13" xfId="784"/>
    <cellStyle name="20% - Accent5 3 14" xfId="785"/>
    <cellStyle name="20% - Accent5 3 15" xfId="786"/>
    <cellStyle name="20% - Accent5 3 16" xfId="787"/>
    <cellStyle name="20% - Accent5 3 17" xfId="788"/>
    <cellStyle name="20% - Accent5 3 18" xfId="789"/>
    <cellStyle name="20% - Accent5 3 19" xfId="790"/>
    <cellStyle name="20% - Accent5 3 2" xfId="791"/>
    <cellStyle name="20% - Accent5 3 20" xfId="792"/>
    <cellStyle name="20% - Accent5 3 21" xfId="793"/>
    <cellStyle name="20% - Accent5 3 22" xfId="794"/>
    <cellStyle name="20% - Accent5 3 23" xfId="795"/>
    <cellStyle name="20% - Accent5 3 24" xfId="796"/>
    <cellStyle name="20% - Accent5 3 3" xfId="797"/>
    <cellStyle name="20% - Accent5 3 4" xfId="798"/>
    <cellStyle name="20% - Accent5 3 5" xfId="799"/>
    <cellStyle name="20% - Accent5 3 6" xfId="800"/>
    <cellStyle name="20% - Accent5 3 7" xfId="801"/>
    <cellStyle name="20% - Accent5 3 8" xfId="802"/>
    <cellStyle name="20% - Accent5 3 9" xfId="803"/>
    <cellStyle name="20% - Accent5 4" xfId="804"/>
    <cellStyle name="20% - Accent5 4 10" xfId="805"/>
    <cellStyle name="20% - Accent5 4 11" xfId="806"/>
    <cellStyle name="20% - Accent5 4 12" xfId="807"/>
    <cellStyle name="20% - Accent5 4 13" xfId="808"/>
    <cellStyle name="20% - Accent5 4 14" xfId="809"/>
    <cellStyle name="20% - Accent5 4 15" xfId="810"/>
    <cellStyle name="20% - Accent5 4 16" xfId="811"/>
    <cellStyle name="20% - Accent5 4 17" xfId="812"/>
    <cellStyle name="20% - Accent5 4 18" xfId="813"/>
    <cellStyle name="20% - Accent5 4 19" xfId="814"/>
    <cellStyle name="20% - Accent5 4 2" xfId="815"/>
    <cellStyle name="20% - Accent5 4 20" xfId="816"/>
    <cellStyle name="20% - Accent5 4 21" xfId="817"/>
    <cellStyle name="20% - Accent5 4 3" xfId="818"/>
    <cellStyle name="20% - Accent5 4 4" xfId="819"/>
    <cellStyle name="20% - Accent5 4 5" xfId="820"/>
    <cellStyle name="20% - Accent5 4 6" xfId="821"/>
    <cellStyle name="20% - Accent5 4 7" xfId="822"/>
    <cellStyle name="20% - Accent5 4 8" xfId="823"/>
    <cellStyle name="20% - Accent5 4 9" xfId="824"/>
    <cellStyle name="20% - Accent5 5" xfId="825"/>
    <cellStyle name="20% - Accent5 6" xfId="826"/>
    <cellStyle name="20% - Accent5 7" xfId="827"/>
    <cellStyle name="20% - Accent5 8" xfId="828"/>
    <cellStyle name="20% - Accent5 9" xfId="829"/>
    <cellStyle name="20% - Accent6" xfId="148" builtinId="50" customBuiltin="1"/>
    <cellStyle name="20% - Accent6 10" xfId="830"/>
    <cellStyle name="20% - Accent6 11" xfId="831"/>
    <cellStyle name="20% - Accent6 12" xfId="832"/>
    <cellStyle name="20% - Accent6 13" xfId="833"/>
    <cellStyle name="20% - Accent6 14" xfId="834"/>
    <cellStyle name="20% - Accent6 15" xfId="835"/>
    <cellStyle name="20% - Accent6 16" xfId="836"/>
    <cellStyle name="20% - Accent6 2" xfId="8"/>
    <cellStyle name="20% - Accent6 2 10" xfId="838"/>
    <cellStyle name="20% - Accent6 2 11" xfId="839"/>
    <cellStyle name="20% - Accent6 2 12" xfId="840"/>
    <cellStyle name="20% - Accent6 2 13" xfId="841"/>
    <cellStyle name="20% - Accent6 2 14" xfId="842"/>
    <cellStyle name="20% - Accent6 2 15" xfId="843"/>
    <cellStyle name="20% - Accent6 2 16" xfId="844"/>
    <cellStyle name="20% - Accent6 2 17" xfId="845"/>
    <cellStyle name="20% - Accent6 2 18" xfId="846"/>
    <cellStyle name="20% - Accent6 2 19" xfId="847"/>
    <cellStyle name="20% - Accent6 2 2" xfId="848"/>
    <cellStyle name="20% - Accent6 2 20" xfId="849"/>
    <cellStyle name="20% - Accent6 2 21" xfId="850"/>
    <cellStyle name="20% - Accent6 2 22" xfId="851"/>
    <cellStyle name="20% - Accent6 2 23" xfId="852"/>
    <cellStyle name="20% - Accent6 2 24" xfId="853"/>
    <cellStyle name="20% - Accent6 2 25" xfId="854"/>
    <cellStyle name="20% - Accent6 2 26" xfId="855"/>
    <cellStyle name="20% - Accent6 2 27" xfId="856"/>
    <cellStyle name="20% - Accent6 2 28" xfId="857"/>
    <cellStyle name="20% - Accent6 2 29" xfId="858"/>
    <cellStyle name="20% - Accent6 2 3" xfId="859"/>
    <cellStyle name="20% - Accent6 2 30" xfId="860"/>
    <cellStyle name="20% - Accent6 2 31" xfId="861"/>
    <cellStyle name="20% - Accent6 2 32" xfId="862"/>
    <cellStyle name="20% - Accent6 2 33" xfId="837"/>
    <cellStyle name="20% - Accent6 2 4" xfId="863"/>
    <cellStyle name="20% - Accent6 2 5" xfId="864"/>
    <cellStyle name="20% - Accent6 2 6" xfId="865"/>
    <cellStyle name="20% - Accent6 2 7" xfId="866"/>
    <cellStyle name="20% - Accent6 2 8" xfId="867"/>
    <cellStyle name="20% - Accent6 2 9" xfId="868"/>
    <cellStyle name="20% - Accent6 3" xfId="869"/>
    <cellStyle name="20% - Accent6 3 10" xfId="870"/>
    <cellStyle name="20% - Accent6 3 11" xfId="871"/>
    <cellStyle name="20% - Accent6 3 12" xfId="872"/>
    <cellStyle name="20% - Accent6 3 13" xfId="873"/>
    <cellStyle name="20% - Accent6 3 14" xfId="874"/>
    <cellStyle name="20% - Accent6 3 15" xfId="875"/>
    <cellStyle name="20% - Accent6 3 16" xfId="876"/>
    <cellStyle name="20% - Accent6 3 17" xfId="877"/>
    <cellStyle name="20% - Accent6 3 18" xfId="878"/>
    <cellStyle name="20% - Accent6 3 19" xfId="879"/>
    <cellStyle name="20% - Accent6 3 2" xfId="880"/>
    <cellStyle name="20% - Accent6 3 20" xfId="881"/>
    <cellStyle name="20% - Accent6 3 21" xfId="882"/>
    <cellStyle name="20% - Accent6 3 22" xfId="883"/>
    <cellStyle name="20% - Accent6 3 23" xfId="884"/>
    <cellStyle name="20% - Accent6 3 24" xfId="885"/>
    <cellStyle name="20% - Accent6 3 3" xfId="886"/>
    <cellStyle name="20% - Accent6 3 4" xfId="887"/>
    <cellStyle name="20% - Accent6 3 5" xfId="888"/>
    <cellStyle name="20% - Accent6 3 6" xfId="889"/>
    <cellStyle name="20% - Accent6 3 7" xfId="890"/>
    <cellStyle name="20% - Accent6 3 8" xfId="891"/>
    <cellStyle name="20% - Accent6 3 9" xfId="892"/>
    <cellStyle name="20% - Accent6 4" xfId="893"/>
    <cellStyle name="20% - Accent6 4 10" xfId="894"/>
    <cellStyle name="20% - Accent6 4 11" xfId="895"/>
    <cellStyle name="20% - Accent6 4 12" xfId="896"/>
    <cellStyle name="20% - Accent6 4 13" xfId="897"/>
    <cellStyle name="20% - Accent6 4 14" xfId="898"/>
    <cellStyle name="20% - Accent6 4 15" xfId="899"/>
    <cellStyle name="20% - Accent6 4 16" xfId="900"/>
    <cellStyle name="20% - Accent6 4 17" xfId="901"/>
    <cellStyle name="20% - Accent6 4 18" xfId="902"/>
    <cellStyle name="20% - Accent6 4 19" xfId="903"/>
    <cellStyle name="20% - Accent6 4 2" xfId="904"/>
    <cellStyle name="20% - Accent6 4 20" xfId="905"/>
    <cellStyle name="20% - Accent6 4 21" xfId="906"/>
    <cellStyle name="20% - Accent6 4 3" xfId="907"/>
    <cellStyle name="20% - Accent6 4 4" xfId="908"/>
    <cellStyle name="20% - Accent6 4 5" xfId="909"/>
    <cellStyle name="20% - Accent6 4 6" xfId="910"/>
    <cellStyle name="20% - Accent6 4 7" xfId="911"/>
    <cellStyle name="20% - Accent6 4 8" xfId="912"/>
    <cellStyle name="20% - Accent6 4 9" xfId="913"/>
    <cellStyle name="20% - Accent6 5" xfId="914"/>
    <cellStyle name="20% - Accent6 6" xfId="915"/>
    <cellStyle name="20% - Accent6 7" xfId="916"/>
    <cellStyle name="20% - Accent6 8" xfId="917"/>
    <cellStyle name="20% - Accent6 9" xfId="918"/>
    <cellStyle name="20% - Akzent1" xfId="919"/>
    <cellStyle name="20% - Akzent1 2" xfId="920"/>
    <cellStyle name="20% - Akzent2" xfId="921"/>
    <cellStyle name="20% - Akzent2 2" xfId="922"/>
    <cellStyle name="20% - Akzent3" xfId="923"/>
    <cellStyle name="20% - Akzent3 2" xfId="924"/>
    <cellStyle name="20% - Akzent4" xfId="925"/>
    <cellStyle name="20% - Akzent4 2" xfId="926"/>
    <cellStyle name="20% - Akzent5" xfId="927"/>
    <cellStyle name="20% - Akzent5 2" xfId="928"/>
    <cellStyle name="20% - Akzent6" xfId="929"/>
    <cellStyle name="20% - Akzent6 2" xfId="930"/>
    <cellStyle name="20% - Isticanje1 2" xfId="931"/>
    <cellStyle name="20% - Isticanje1 2 2" xfId="932"/>
    <cellStyle name="20% - Isticanje1 2 3" xfId="933"/>
    <cellStyle name="20% - Isticanje1 3" xfId="934"/>
    <cellStyle name="20% - Isticanje1 4" xfId="935"/>
    <cellStyle name="20% - Isticanje1 5" xfId="936"/>
    <cellStyle name="20% - Isticanje1 6" xfId="937"/>
    <cellStyle name="20% - Isticanje1 6 2" xfId="938"/>
    <cellStyle name="20% - Isticanje2 2" xfId="939"/>
    <cellStyle name="20% - Isticanje2 2 2" xfId="940"/>
    <cellStyle name="20% - Isticanje2 2 3" xfId="941"/>
    <cellStyle name="20% - Isticanje2 3" xfId="942"/>
    <cellStyle name="20% - Isticanje2 4" xfId="943"/>
    <cellStyle name="20% - Isticanje2 5" xfId="944"/>
    <cellStyle name="20% - Isticanje2 6" xfId="945"/>
    <cellStyle name="20% - Isticanje2 6 2" xfId="946"/>
    <cellStyle name="20% - Isticanje3 2" xfId="947"/>
    <cellStyle name="20% - Isticanje3 2 2" xfId="948"/>
    <cellStyle name="20% - Isticanje3 2 3" xfId="949"/>
    <cellStyle name="20% - Isticanje3 3" xfId="950"/>
    <cellStyle name="20% - Isticanje3 4" xfId="951"/>
    <cellStyle name="20% - Isticanje3 5" xfId="952"/>
    <cellStyle name="20% - Isticanje3 6" xfId="953"/>
    <cellStyle name="20% - Isticanje3 6 2" xfId="954"/>
    <cellStyle name="20% - Isticanje4 2" xfId="955"/>
    <cellStyle name="20% - Isticanje4 2 2" xfId="956"/>
    <cellStyle name="20% - Isticanje4 2 3" xfId="957"/>
    <cellStyle name="20% - Isticanje4 3" xfId="958"/>
    <cellStyle name="20% - Isticanje4 4" xfId="959"/>
    <cellStyle name="20% - Isticanje4 5" xfId="960"/>
    <cellStyle name="20% - Isticanje4 6" xfId="961"/>
    <cellStyle name="20% - Isticanje4 6 2" xfId="962"/>
    <cellStyle name="20% - Isticanje5 2" xfId="963"/>
    <cellStyle name="20% - Isticanje5 2 2" xfId="964"/>
    <cellStyle name="20% - Isticanje5 3" xfId="965"/>
    <cellStyle name="20% - Isticanje5 4" xfId="966"/>
    <cellStyle name="20% - Isticanje5 5" xfId="967"/>
    <cellStyle name="20% - Isticanje5 6" xfId="968"/>
    <cellStyle name="20% - Isticanje6 2" xfId="969"/>
    <cellStyle name="20% - Isticanje6 2 2" xfId="970"/>
    <cellStyle name="20% - Isticanje6 2 3" xfId="971"/>
    <cellStyle name="20% - Isticanje6 3" xfId="972"/>
    <cellStyle name="20% - Isticanje6 4" xfId="973"/>
    <cellStyle name="20% - Isticanje6 5" xfId="974"/>
    <cellStyle name="20% - Isticanje6 6" xfId="975"/>
    <cellStyle name="20% - Isticanje6 6 2" xfId="976"/>
    <cellStyle name="3-pitanje" xfId="233"/>
    <cellStyle name="40 % – Poudarek1" xfId="977"/>
    <cellStyle name="40 % – Poudarek2" xfId="978"/>
    <cellStyle name="40 % – Poudarek3" xfId="979"/>
    <cellStyle name="40 % – Poudarek4" xfId="980"/>
    <cellStyle name="40 % – Poudarek5" xfId="981"/>
    <cellStyle name="40 % – Poudarek6" xfId="982"/>
    <cellStyle name="40 % - Accent1" xfId="983"/>
    <cellStyle name="40 % - Accent2" xfId="984"/>
    <cellStyle name="40 % - Accent3" xfId="985"/>
    <cellStyle name="40 % - Accent4" xfId="986"/>
    <cellStyle name="40 % - Accent5" xfId="987"/>
    <cellStyle name="40 % - Accent6" xfId="988"/>
    <cellStyle name="40% - Accent1 10" xfId="989"/>
    <cellStyle name="40% - Accent1 11" xfId="990"/>
    <cellStyle name="40% - Accent1 12" xfId="991"/>
    <cellStyle name="40% - Accent1 13" xfId="992"/>
    <cellStyle name="40% - Accent1 14" xfId="993"/>
    <cellStyle name="40% - Accent1 15" xfId="994"/>
    <cellStyle name="40% - Accent1 16" xfId="995"/>
    <cellStyle name="40% - Accent1 17" xfId="1534"/>
    <cellStyle name="40% - Accent1 2" xfId="9"/>
    <cellStyle name="40% - Accent1 2 10" xfId="997"/>
    <cellStyle name="40% - Accent1 2 11" xfId="998"/>
    <cellStyle name="40% - Accent1 2 12" xfId="999"/>
    <cellStyle name="40% - Accent1 2 13" xfId="1000"/>
    <cellStyle name="40% - Accent1 2 14" xfId="1001"/>
    <cellStyle name="40% - Accent1 2 15" xfId="1002"/>
    <cellStyle name="40% - Accent1 2 16" xfId="1003"/>
    <cellStyle name="40% - Accent1 2 17" xfId="1004"/>
    <cellStyle name="40% - Accent1 2 18" xfId="1005"/>
    <cellStyle name="40% - Accent1 2 19" xfId="1006"/>
    <cellStyle name="40% - Accent1 2 2" xfId="1007"/>
    <cellStyle name="40% - Accent1 2 20" xfId="1008"/>
    <cellStyle name="40% - Accent1 2 21" xfId="1009"/>
    <cellStyle name="40% - Accent1 2 22" xfId="1010"/>
    <cellStyle name="40% - Accent1 2 23" xfId="1011"/>
    <cellStyle name="40% - Accent1 2 24" xfId="1012"/>
    <cellStyle name="40% - Accent1 2 25" xfId="1013"/>
    <cellStyle name="40% - Accent1 2 26" xfId="1014"/>
    <cellStyle name="40% - Accent1 2 27" xfId="1015"/>
    <cellStyle name="40% - Accent1 2 28" xfId="1016"/>
    <cellStyle name="40% - Accent1 2 29" xfId="1017"/>
    <cellStyle name="40% - Accent1 2 3" xfId="1018"/>
    <cellStyle name="40% - Accent1 2 30" xfId="1019"/>
    <cellStyle name="40% - Accent1 2 31" xfId="1020"/>
    <cellStyle name="40% - Accent1 2 32" xfId="1021"/>
    <cellStyle name="40% - Accent1 2 33" xfId="996"/>
    <cellStyle name="40% - Accent1 2 4" xfId="1022"/>
    <cellStyle name="40% - Accent1 2 5" xfId="1023"/>
    <cellStyle name="40% - Accent1 2 6" xfId="1024"/>
    <cellStyle name="40% - Accent1 2 7" xfId="1025"/>
    <cellStyle name="40% - Accent1 2 8" xfId="1026"/>
    <cellStyle name="40% - Accent1 2 9" xfId="1027"/>
    <cellStyle name="40% - Accent1 3" xfId="1028"/>
    <cellStyle name="40% - Accent1 3 10" xfId="1029"/>
    <cellStyle name="40% - Accent1 3 11" xfId="1030"/>
    <cellStyle name="40% - Accent1 3 12" xfId="1031"/>
    <cellStyle name="40% - Accent1 3 13" xfId="1032"/>
    <cellStyle name="40% - Accent1 3 14" xfId="1033"/>
    <cellStyle name="40% - Accent1 3 15" xfId="1034"/>
    <cellStyle name="40% - Accent1 3 16" xfId="1035"/>
    <cellStyle name="40% - Accent1 3 17" xfId="1036"/>
    <cellStyle name="40% - Accent1 3 18" xfId="1037"/>
    <cellStyle name="40% - Accent1 3 19" xfId="1038"/>
    <cellStyle name="40% - Accent1 3 2" xfId="1039"/>
    <cellStyle name="40% - Accent1 3 20" xfId="1040"/>
    <cellStyle name="40% - Accent1 3 21" xfId="1041"/>
    <cellStyle name="40% - Accent1 3 22" xfId="1042"/>
    <cellStyle name="40% - Accent1 3 23" xfId="1043"/>
    <cellStyle name="40% - Accent1 3 24" xfId="1044"/>
    <cellStyle name="40% - Accent1 3 3" xfId="1045"/>
    <cellStyle name="40% - Accent1 3 4" xfId="1046"/>
    <cellStyle name="40% - Accent1 3 5" xfId="1047"/>
    <cellStyle name="40% - Accent1 3 6" xfId="1048"/>
    <cellStyle name="40% - Accent1 3 7" xfId="1049"/>
    <cellStyle name="40% - Accent1 3 8" xfId="1050"/>
    <cellStyle name="40% - Accent1 3 9" xfId="1051"/>
    <cellStyle name="40% - Accent1 4" xfId="1052"/>
    <cellStyle name="40% - Accent1 4 10" xfId="1053"/>
    <cellStyle name="40% - Accent1 4 11" xfId="1054"/>
    <cellStyle name="40% - Accent1 4 12" xfId="1055"/>
    <cellStyle name="40% - Accent1 4 13" xfId="1056"/>
    <cellStyle name="40% - Accent1 4 14" xfId="1057"/>
    <cellStyle name="40% - Accent1 4 15" xfId="1058"/>
    <cellStyle name="40% - Accent1 4 16" xfId="1059"/>
    <cellStyle name="40% - Accent1 4 17" xfId="1060"/>
    <cellStyle name="40% - Accent1 4 18" xfId="1061"/>
    <cellStyle name="40% - Accent1 4 19" xfId="1062"/>
    <cellStyle name="40% - Accent1 4 2" xfId="1063"/>
    <cellStyle name="40% - Accent1 4 20" xfId="1064"/>
    <cellStyle name="40% - Accent1 4 21" xfId="1065"/>
    <cellStyle name="40% - Accent1 4 3" xfId="1066"/>
    <cellStyle name="40% - Accent1 4 4" xfId="1067"/>
    <cellStyle name="40% - Accent1 4 5" xfId="1068"/>
    <cellStyle name="40% - Accent1 4 6" xfId="1069"/>
    <cellStyle name="40% - Accent1 4 7" xfId="1070"/>
    <cellStyle name="40% - Accent1 4 8" xfId="1071"/>
    <cellStyle name="40% - Accent1 4 9" xfId="1072"/>
    <cellStyle name="40% - Accent1 5" xfId="1073"/>
    <cellStyle name="40% - Accent1 6" xfId="1074"/>
    <cellStyle name="40% - Accent1 7" xfId="1075"/>
    <cellStyle name="40% - Accent1 8" xfId="1076"/>
    <cellStyle name="40% - Accent1 9" xfId="1077"/>
    <cellStyle name="40% - Accent2" xfId="137" builtinId="35" customBuiltin="1"/>
    <cellStyle name="40% - Accent2 10" xfId="1078"/>
    <cellStyle name="40% - Accent2 11" xfId="1079"/>
    <cellStyle name="40% - Accent2 12" xfId="1080"/>
    <cellStyle name="40% - Accent2 13" xfId="1081"/>
    <cellStyle name="40% - Accent2 14" xfId="1082"/>
    <cellStyle name="40% - Accent2 15" xfId="1083"/>
    <cellStyle name="40% - Accent2 16" xfId="1084"/>
    <cellStyle name="40% - Accent2 2" xfId="10"/>
    <cellStyle name="40% - Accent2 2 10" xfId="1086"/>
    <cellStyle name="40% - Accent2 2 11" xfId="1087"/>
    <cellStyle name="40% - Accent2 2 12" xfId="1088"/>
    <cellStyle name="40% - Accent2 2 13" xfId="1089"/>
    <cellStyle name="40% - Accent2 2 14" xfId="1090"/>
    <cellStyle name="40% - Accent2 2 15" xfId="1091"/>
    <cellStyle name="40% - Accent2 2 16" xfId="1092"/>
    <cellStyle name="40% - Accent2 2 17" xfId="1093"/>
    <cellStyle name="40% - Accent2 2 18" xfId="1094"/>
    <cellStyle name="40% - Accent2 2 19" xfId="1095"/>
    <cellStyle name="40% - Accent2 2 2" xfId="1096"/>
    <cellStyle name="40% - Accent2 2 20" xfId="1097"/>
    <cellStyle name="40% - Accent2 2 21" xfId="1098"/>
    <cellStyle name="40% - Accent2 2 22" xfId="1099"/>
    <cellStyle name="40% - Accent2 2 23" xfId="1100"/>
    <cellStyle name="40% - Accent2 2 24" xfId="1101"/>
    <cellStyle name="40% - Accent2 2 25" xfId="1102"/>
    <cellStyle name="40% - Accent2 2 26" xfId="1103"/>
    <cellStyle name="40% - Accent2 2 27" xfId="1104"/>
    <cellStyle name="40% - Accent2 2 28" xfId="1105"/>
    <cellStyle name="40% - Accent2 2 29" xfId="1106"/>
    <cellStyle name="40% - Accent2 2 3" xfId="1107"/>
    <cellStyle name="40% - Accent2 2 30" xfId="1108"/>
    <cellStyle name="40% - Accent2 2 31" xfId="1109"/>
    <cellStyle name="40% - Accent2 2 32" xfId="1110"/>
    <cellStyle name="40% - Accent2 2 33" xfId="1085"/>
    <cellStyle name="40% - Accent2 2 4" xfId="1111"/>
    <cellStyle name="40% - Accent2 2 5" xfId="1112"/>
    <cellStyle name="40% - Accent2 2 6" xfId="1113"/>
    <cellStyle name="40% - Accent2 2 7" xfId="1114"/>
    <cellStyle name="40% - Accent2 2 8" xfId="1115"/>
    <cellStyle name="40% - Accent2 2 9" xfId="1116"/>
    <cellStyle name="40% - Accent2 3" xfId="1117"/>
    <cellStyle name="40% - Accent2 3 10" xfId="1118"/>
    <cellStyle name="40% - Accent2 3 11" xfId="1119"/>
    <cellStyle name="40% - Accent2 3 12" xfId="1120"/>
    <cellStyle name="40% - Accent2 3 13" xfId="1121"/>
    <cellStyle name="40% - Accent2 3 14" xfId="1122"/>
    <cellStyle name="40% - Accent2 3 15" xfId="1123"/>
    <cellStyle name="40% - Accent2 3 16" xfId="1124"/>
    <cellStyle name="40% - Accent2 3 17" xfId="1125"/>
    <cellStyle name="40% - Accent2 3 18" xfId="1126"/>
    <cellStyle name="40% - Accent2 3 19" xfId="1127"/>
    <cellStyle name="40% - Accent2 3 2" xfId="1128"/>
    <cellStyle name="40% - Accent2 3 20" xfId="1129"/>
    <cellStyle name="40% - Accent2 3 21" xfId="1130"/>
    <cellStyle name="40% - Accent2 3 22" xfId="1131"/>
    <cellStyle name="40% - Accent2 3 23" xfId="1132"/>
    <cellStyle name="40% - Accent2 3 24" xfId="1133"/>
    <cellStyle name="40% - Accent2 3 3" xfId="1134"/>
    <cellStyle name="40% - Accent2 3 4" xfId="1135"/>
    <cellStyle name="40% - Accent2 3 5" xfId="1136"/>
    <cellStyle name="40% - Accent2 3 6" xfId="1137"/>
    <cellStyle name="40% - Accent2 3 7" xfId="1138"/>
    <cellStyle name="40% - Accent2 3 8" xfId="1139"/>
    <cellStyle name="40% - Accent2 3 9" xfId="1140"/>
    <cellStyle name="40% - Accent2 4" xfId="1141"/>
    <cellStyle name="40% - Accent2 4 10" xfId="1142"/>
    <cellStyle name="40% - Accent2 4 11" xfId="1143"/>
    <cellStyle name="40% - Accent2 4 12" xfId="1144"/>
    <cellStyle name="40% - Accent2 4 13" xfId="1145"/>
    <cellStyle name="40% - Accent2 4 14" xfId="1146"/>
    <cellStyle name="40% - Accent2 4 15" xfId="1147"/>
    <cellStyle name="40% - Accent2 4 16" xfId="1148"/>
    <cellStyle name="40% - Accent2 4 17" xfId="1149"/>
    <cellStyle name="40% - Accent2 4 18" xfId="1150"/>
    <cellStyle name="40% - Accent2 4 19" xfId="1151"/>
    <cellStyle name="40% - Accent2 4 2" xfId="1152"/>
    <cellStyle name="40% - Accent2 4 20" xfId="1153"/>
    <cellStyle name="40% - Accent2 4 21" xfId="1154"/>
    <cellStyle name="40% - Accent2 4 3" xfId="1155"/>
    <cellStyle name="40% - Accent2 4 4" xfId="1156"/>
    <cellStyle name="40% - Accent2 4 5" xfId="1157"/>
    <cellStyle name="40% - Accent2 4 6" xfId="1158"/>
    <cellStyle name="40% - Accent2 4 7" xfId="1159"/>
    <cellStyle name="40% - Accent2 4 8" xfId="1160"/>
    <cellStyle name="40% - Accent2 4 9" xfId="1161"/>
    <cellStyle name="40% - Accent2 5" xfId="1162"/>
    <cellStyle name="40% - Accent2 6" xfId="1163"/>
    <cellStyle name="40% - Accent2 7" xfId="1164"/>
    <cellStyle name="40% - Accent2 8" xfId="1165"/>
    <cellStyle name="40% - Accent2 9" xfId="1166"/>
    <cellStyle name="40% - Accent3" xfId="140" builtinId="39" customBuiltin="1"/>
    <cellStyle name="40% - Accent3 10" xfId="1167"/>
    <cellStyle name="40% - Accent3 11" xfId="1168"/>
    <cellStyle name="40% - Accent3 12" xfId="1169"/>
    <cellStyle name="40% - Accent3 13" xfId="1170"/>
    <cellStyle name="40% - Accent3 14" xfId="1171"/>
    <cellStyle name="40% - Accent3 15" xfId="1172"/>
    <cellStyle name="40% - Accent3 16" xfId="1173"/>
    <cellStyle name="40% - Accent3 2" xfId="11"/>
    <cellStyle name="40% - Accent3 2 10" xfId="1175"/>
    <cellStyle name="40% - Accent3 2 11" xfId="1176"/>
    <cellStyle name="40% - Accent3 2 12" xfId="1177"/>
    <cellStyle name="40% - Accent3 2 13" xfId="1178"/>
    <cellStyle name="40% - Accent3 2 14" xfId="1179"/>
    <cellStyle name="40% - Accent3 2 15" xfId="1180"/>
    <cellStyle name="40% - Accent3 2 16" xfId="1181"/>
    <cellStyle name="40% - Accent3 2 17" xfId="1182"/>
    <cellStyle name="40% - Accent3 2 18" xfId="1183"/>
    <cellStyle name="40% - Accent3 2 19" xfId="1184"/>
    <cellStyle name="40% - Accent3 2 2" xfId="1185"/>
    <cellStyle name="40% - Accent3 2 20" xfId="1186"/>
    <cellStyle name="40% - Accent3 2 21" xfId="1187"/>
    <cellStyle name="40% - Accent3 2 22" xfId="1188"/>
    <cellStyle name="40% - Accent3 2 23" xfId="1189"/>
    <cellStyle name="40% - Accent3 2 24" xfId="1190"/>
    <cellStyle name="40% - Accent3 2 25" xfId="1191"/>
    <cellStyle name="40% - Accent3 2 26" xfId="1192"/>
    <cellStyle name="40% - Accent3 2 27" xfId="1193"/>
    <cellStyle name="40% - Accent3 2 28" xfId="1194"/>
    <cellStyle name="40% - Accent3 2 29" xfId="1195"/>
    <cellStyle name="40% - Accent3 2 3" xfId="1196"/>
    <cellStyle name="40% - Accent3 2 30" xfId="1197"/>
    <cellStyle name="40% - Accent3 2 31" xfId="1198"/>
    <cellStyle name="40% - Accent3 2 32" xfId="1199"/>
    <cellStyle name="40% - Accent3 2 33" xfId="1174"/>
    <cellStyle name="40% - Accent3 2 4" xfId="1200"/>
    <cellStyle name="40% - Accent3 2 5" xfId="1201"/>
    <cellStyle name="40% - Accent3 2 6" xfId="1202"/>
    <cellStyle name="40% - Accent3 2 7" xfId="1203"/>
    <cellStyle name="40% - Accent3 2 8" xfId="1204"/>
    <cellStyle name="40% - Accent3 2 9" xfId="1205"/>
    <cellStyle name="40% - Accent3 3" xfId="1206"/>
    <cellStyle name="40% - Accent3 3 10" xfId="1207"/>
    <cellStyle name="40% - Accent3 3 11" xfId="1208"/>
    <cellStyle name="40% - Accent3 3 12" xfId="1209"/>
    <cellStyle name="40% - Accent3 3 13" xfId="1210"/>
    <cellStyle name="40% - Accent3 3 14" xfId="1211"/>
    <cellStyle name="40% - Accent3 3 15" xfId="1212"/>
    <cellStyle name="40% - Accent3 3 16" xfId="1213"/>
    <cellStyle name="40% - Accent3 3 17" xfId="1214"/>
    <cellStyle name="40% - Accent3 3 18" xfId="1215"/>
    <cellStyle name="40% - Accent3 3 19" xfId="1216"/>
    <cellStyle name="40% - Accent3 3 2" xfId="1217"/>
    <cellStyle name="40% - Accent3 3 20" xfId="1218"/>
    <cellStyle name="40% - Accent3 3 21" xfId="1219"/>
    <cellStyle name="40% - Accent3 3 22" xfId="1220"/>
    <cellStyle name="40% - Accent3 3 23" xfId="1221"/>
    <cellStyle name="40% - Accent3 3 24" xfId="1222"/>
    <cellStyle name="40% - Accent3 3 3" xfId="1223"/>
    <cellStyle name="40% - Accent3 3 4" xfId="1224"/>
    <cellStyle name="40% - Accent3 3 5" xfId="1225"/>
    <cellStyle name="40% - Accent3 3 6" xfId="1226"/>
    <cellStyle name="40% - Accent3 3 7" xfId="1227"/>
    <cellStyle name="40% - Accent3 3 8" xfId="1228"/>
    <cellStyle name="40% - Accent3 3 9" xfId="1229"/>
    <cellStyle name="40% - Accent3 4" xfId="1230"/>
    <cellStyle name="40% - Accent3 4 10" xfId="1231"/>
    <cellStyle name="40% - Accent3 4 11" xfId="1232"/>
    <cellStyle name="40% - Accent3 4 12" xfId="1233"/>
    <cellStyle name="40% - Accent3 4 13" xfId="1234"/>
    <cellStyle name="40% - Accent3 4 14" xfId="1235"/>
    <cellStyle name="40% - Accent3 4 15" xfId="1236"/>
    <cellStyle name="40% - Accent3 4 16" xfId="1237"/>
    <cellStyle name="40% - Accent3 4 17" xfId="1238"/>
    <cellStyle name="40% - Accent3 4 18" xfId="1239"/>
    <cellStyle name="40% - Accent3 4 19" xfId="1240"/>
    <cellStyle name="40% - Accent3 4 2" xfId="1241"/>
    <cellStyle name="40% - Accent3 4 20" xfId="1242"/>
    <cellStyle name="40% - Accent3 4 21" xfId="1243"/>
    <cellStyle name="40% - Accent3 4 3" xfId="1244"/>
    <cellStyle name="40% - Accent3 4 4" xfId="1245"/>
    <cellStyle name="40% - Accent3 4 5" xfId="1246"/>
    <cellStyle name="40% - Accent3 4 6" xfId="1247"/>
    <cellStyle name="40% - Accent3 4 7" xfId="1248"/>
    <cellStyle name="40% - Accent3 4 8" xfId="1249"/>
    <cellStyle name="40% - Accent3 4 9" xfId="1250"/>
    <cellStyle name="40% - Accent3 5" xfId="1251"/>
    <cellStyle name="40% - Accent3 6" xfId="1252"/>
    <cellStyle name="40% - Accent3 7" xfId="1253"/>
    <cellStyle name="40% - Accent3 8" xfId="1254"/>
    <cellStyle name="40% - Accent3 9" xfId="1255"/>
    <cellStyle name="40% - Accent4" xfId="143" builtinId="43" customBuiltin="1"/>
    <cellStyle name="40% - Accent4 10" xfId="1256"/>
    <cellStyle name="40% - Accent4 11" xfId="1257"/>
    <cellStyle name="40% - Accent4 12" xfId="1258"/>
    <cellStyle name="40% - Accent4 13" xfId="1259"/>
    <cellStyle name="40% - Accent4 14" xfId="1260"/>
    <cellStyle name="40% - Accent4 15" xfId="1261"/>
    <cellStyle name="40% - Accent4 16" xfId="1262"/>
    <cellStyle name="40% - Accent4 2" xfId="12"/>
    <cellStyle name="40% - Accent4 2 10" xfId="1264"/>
    <cellStyle name="40% - Accent4 2 11" xfId="1265"/>
    <cellStyle name="40% - Accent4 2 12" xfId="1266"/>
    <cellStyle name="40% - Accent4 2 13" xfId="1267"/>
    <cellStyle name="40% - Accent4 2 14" xfId="1268"/>
    <cellStyle name="40% - Accent4 2 15" xfId="1269"/>
    <cellStyle name="40% - Accent4 2 16" xfId="1270"/>
    <cellStyle name="40% - Accent4 2 17" xfId="1271"/>
    <cellStyle name="40% - Accent4 2 18" xfId="1272"/>
    <cellStyle name="40% - Accent4 2 19" xfId="1273"/>
    <cellStyle name="40% - Accent4 2 2" xfId="1274"/>
    <cellStyle name="40% - Accent4 2 20" xfId="1275"/>
    <cellStyle name="40% - Accent4 2 21" xfId="1276"/>
    <cellStyle name="40% - Accent4 2 22" xfId="1277"/>
    <cellStyle name="40% - Accent4 2 23" xfId="1278"/>
    <cellStyle name="40% - Accent4 2 24" xfId="1279"/>
    <cellStyle name="40% - Accent4 2 25" xfId="1280"/>
    <cellStyle name="40% - Accent4 2 26" xfId="1281"/>
    <cellStyle name="40% - Accent4 2 27" xfId="1282"/>
    <cellStyle name="40% - Accent4 2 28" xfId="1283"/>
    <cellStyle name="40% - Accent4 2 29" xfId="1284"/>
    <cellStyle name="40% - Accent4 2 3" xfId="1285"/>
    <cellStyle name="40% - Accent4 2 30" xfId="1286"/>
    <cellStyle name="40% - Accent4 2 31" xfId="1287"/>
    <cellStyle name="40% - Accent4 2 32" xfId="1288"/>
    <cellStyle name="40% - Accent4 2 33" xfId="1263"/>
    <cellStyle name="40% - Accent4 2 4" xfId="1289"/>
    <cellStyle name="40% - Accent4 2 5" xfId="1290"/>
    <cellStyle name="40% - Accent4 2 6" xfId="1291"/>
    <cellStyle name="40% - Accent4 2 7" xfId="1292"/>
    <cellStyle name="40% - Accent4 2 8" xfId="1293"/>
    <cellStyle name="40% - Accent4 2 9" xfId="1294"/>
    <cellStyle name="40% - Accent4 3" xfId="1295"/>
    <cellStyle name="40% - Accent4 3 10" xfId="1296"/>
    <cellStyle name="40% - Accent4 3 11" xfId="1297"/>
    <cellStyle name="40% - Accent4 3 12" xfId="1298"/>
    <cellStyle name="40% - Accent4 3 13" xfId="1299"/>
    <cellStyle name="40% - Accent4 3 14" xfId="1300"/>
    <cellStyle name="40% - Accent4 3 15" xfId="1301"/>
    <cellStyle name="40% - Accent4 3 16" xfId="1302"/>
    <cellStyle name="40% - Accent4 3 17" xfId="1303"/>
    <cellStyle name="40% - Accent4 3 18" xfId="1304"/>
    <cellStyle name="40% - Accent4 3 19" xfId="1305"/>
    <cellStyle name="40% - Accent4 3 2" xfId="1306"/>
    <cellStyle name="40% - Accent4 3 20" xfId="1307"/>
    <cellStyle name="40% - Accent4 3 21" xfId="1308"/>
    <cellStyle name="40% - Accent4 3 22" xfId="1309"/>
    <cellStyle name="40% - Accent4 3 23" xfId="1310"/>
    <cellStyle name="40% - Accent4 3 24" xfId="1311"/>
    <cellStyle name="40% - Accent4 3 3" xfId="1312"/>
    <cellStyle name="40% - Accent4 3 4" xfId="1313"/>
    <cellStyle name="40% - Accent4 3 5" xfId="1314"/>
    <cellStyle name="40% - Accent4 3 6" xfId="1315"/>
    <cellStyle name="40% - Accent4 3 7" xfId="1316"/>
    <cellStyle name="40% - Accent4 3 8" xfId="1317"/>
    <cellStyle name="40% - Accent4 3 9" xfId="1318"/>
    <cellStyle name="40% - Accent4 4" xfId="1319"/>
    <cellStyle name="40% - Accent4 4 10" xfId="1320"/>
    <cellStyle name="40% - Accent4 4 11" xfId="1321"/>
    <cellStyle name="40% - Accent4 4 12" xfId="1322"/>
    <cellStyle name="40% - Accent4 4 13" xfId="1323"/>
    <cellStyle name="40% - Accent4 4 14" xfId="1324"/>
    <cellStyle name="40% - Accent4 4 15" xfId="1325"/>
    <cellStyle name="40% - Accent4 4 16" xfId="1326"/>
    <cellStyle name="40% - Accent4 4 17" xfId="1327"/>
    <cellStyle name="40% - Accent4 4 18" xfId="1328"/>
    <cellStyle name="40% - Accent4 4 19" xfId="1329"/>
    <cellStyle name="40% - Accent4 4 2" xfId="1330"/>
    <cellStyle name="40% - Accent4 4 20" xfId="1331"/>
    <cellStyle name="40% - Accent4 4 21" xfId="1332"/>
    <cellStyle name="40% - Accent4 4 3" xfId="1333"/>
    <cellStyle name="40% - Accent4 4 4" xfId="1334"/>
    <cellStyle name="40% - Accent4 4 5" xfId="1335"/>
    <cellStyle name="40% - Accent4 4 6" xfId="1336"/>
    <cellStyle name="40% - Accent4 4 7" xfId="1337"/>
    <cellStyle name="40% - Accent4 4 8" xfId="1338"/>
    <cellStyle name="40% - Accent4 4 9" xfId="1339"/>
    <cellStyle name="40% - Accent4 5" xfId="1340"/>
    <cellStyle name="40% - Accent4 6" xfId="1341"/>
    <cellStyle name="40% - Accent4 7" xfId="1342"/>
    <cellStyle name="40% - Accent4 8" xfId="1343"/>
    <cellStyle name="40% - Accent4 9" xfId="1344"/>
    <cellStyle name="40% - Accent5" xfId="146" builtinId="47" customBuiltin="1"/>
    <cellStyle name="40% - Accent5 10" xfId="1345"/>
    <cellStyle name="40% - Accent5 11" xfId="1346"/>
    <cellStyle name="40% - Accent5 12" xfId="1347"/>
    <cellStyle name="40% - Accent5 13" xfId="1348"/>
    <cellStyle name="40% - Accent5 14" xfId="1349"/>
    <cellStyle name="40% - Accent5 15" xfId="1350"/>
    <cellStyle name="40% - Accent5 16" xfId="1351"/>
    <cellStyle name="40% - Accent5 2" xfId="13"/>
    <cellStyle name="40% - Accent5 2 10" xfId="1353"/>
    <cellStyle name="40% - Accent5 2 11" xfId="1354"/>
    <cellStyle name="40% - Accent5 2 12" xfId="1355"/>
    <cellStyle name="40% - Accent5 2 13" xfId="1356"/>
    <cellStyle name="40% - Accent5 2 14" xfId="1357"/>
    <cellStyle name="40% - Accent5 2 15" xfId="1358"/>
    <cellStyle name="40% - Accent5 2 16" xfId="1359"/>
    <cellStyle name="40% - Accent5 2 17" xfId="1360"/>
    <cellStyle name="40% - Accent5 2 18" xfId="1361"/>
    <cellStyle name="40% - Accent5 2 19" xfId="1362"/>
    <cellStyle name="40% - Accent5 2 2" xfId="1363"/>
    <cellStyle name="40% - Accent5 2 20" xfId="1364"/>
    <cellStyle name="40% - Accent5 2 21" xfId="1365"/>
    <cellStyle name="40% - Accent5 2 22" xfId="1366"/>
    <cellStyle name="40% - Accent5 2 23" xfId="1367"/>
    <cellStyle name="40% - Accent5 2 24" xfId="1368"/>
    <cellStyle name="40% - Accent5 2 25" xfId="1369"/>
    <cellStyle name="40% - Accent5 2 26" xfId="1370"/>
    <cellStyle name="40% - Accent5 2 27" xfId="1371"/>
    <cellStyle name="40% - Accent5 2 28" xfId="1372"/>
    <cellStyle name="40% - Accent5 2 29" xfId="1373"/>
    <cellStyle name="40% - Accent5 2 3" xfId="1374"/>
    <cellStyle name="40% - Accent5 2 30" xfId="1375"/>
    <cellStyle name="40% - Accent5 2 31" xfId="1376"/>
    <cellStyle name="40% - Accent5 2 32" xfId="1377"/>
    <cellStyle name="40% - Accent5 2 33" xfId="1352"/>
    <cellStyle name="40% - Accent5 2 4" xfId="1378"/>
    <cellStyle name="40% - Accent5 2 5" xfId="1379"/>
    <cellStyle name="40% - Accent5 2 6" xfId="1380"/>
    <cellStyle name="40% - Accent5 2 7" xfId="1381"/>
    <cellStyle name="40% - Accent5 2 8" xfId="1382"/>
    <cellStyle name="40% - Accent5 2 9" xfId="1383"/>
    <cellStyle name="40% - Accent5 3" xfId="1384"/>
    <cellStyle name="40% - Accent5 3 10" xfId="1385"/>
    <cellStyle name="40% - Accent5 3 11" xfId="1386"/>
    <cellStyle name="40% - Accent5 3 12" xfId="1387"/>
    <cellStyle name="40% - Accent5 3 13" xfId="1388"/>
    <cellStyle name="40% - Accent5 3 14" xfId="1389"/>
    <cellStyle name="40% - Accent5 3 15" xfId="1390"/>
    <cellStyle name="40% - Accent5 3 16" xfId="1391"/>
    <cellStyle name="40% - Accent5 3 17" xfId="1392"/>
    <cellStyle name="40% - Accent5 3 18" xfId="1393"/>
    <cellStyle name="40% - Accent5 3 19" xfId="1394"/>
    <cellStyle name="40% - Accent5 3 2" xfId="1395"/>
    <cellStyle name="40% - Accent5 3 20" xfId="1396"/>
    <cellStyle name="40% - Accent5 3 21" xfId="1397"/>
    <cellStyle name="40% - Accent5 3 22" xfId="1398"/>
    <cellStyle name="40% - Accent5 3 23" xfId="1399"/>
    <cellStyle name="40% - Accent5 3 3" xfId="1400"/>
    <cellStyle name="40% - Accent5 3 4" xfId="1401"/>
    <cellStyle name="40% - Accent5 3 5" xfId="1402"/>
    <cellStyle name="40% - Accent5 3 6" xfId="1403"/>
    <cellStyle name="40% - Accent5 3 7" xfId="1404"/>
    <cellStyle name="40% - Accent5 3 8" xfId="1405"/>
    <cellStyle name="40% - Accent5 3 9" xfId="1406"/>
    <cellStyle name="40% - Accent5 4" xfId="1407"/>
    <cellStyle name="40% - Accent5 4 10" xfId="1408"/>
    <cellStyle name="40% - Accent5 4 11" xfId="1409"/>
    <cellStyle name="40% - Accent5 4 12" xfId="1410"/>
    <cellStyle name="40% - Accent5 4 13" xfId="1411"/>
    <cellStyle name="40% - Accent5 4 14" xfId="1412"/>
    <cellStyle name="40% - Accent5 4 15" xfId="1413"/>
    <cellStyle name="40% - Accent5 4 16" xfId="1414"/>
    <cellStyle name="40% - Accent5 4 17" xfId="1415"/>
    <cellStyle name="40% - Accent5 4 18" xfId="1416"/>
    <cellStyle name="40% - Accent5 4 19" xfId="1417"/>
    <cellStyle name="40% - Accent5 4 2" xfId="1418"/>
    <cellStyle name="40% - Accent5 4 20" xfId="1419"/>
    <cellStyle name="40% - Accent5 4 21" xfId="1420"/>
    <cellStyle name="40% - Accent5 4 3" xfId="1421"/>
    <cellStyle name="40% - Accent5 4 4" xfId="1422"/>
    <cellStyle name="40% - Accent5 4 5" xfId="1423"/>
    <cellStyle name="40% - Accent5 4 6" xfId="1424"/>
    <cellStyle name="40% - Accent5 4 7" xfId="1425"/>
    <cellStyle name="40% - Accent5 4 8" xfId="1426"/>
    <cellStyle name="40% - Accent5 4 9" xfId="1427"/>
    <cellStyle name="40% - Accent5 5" xfId="1428"/>
    <cellStyle name="40% - Accent5 6" xfId="1429"/>
    <cellStyle name="40% - Accent5 7" xfId="1430"/>
    <cellStyle name="40% - Accent5 8" xfId="1431"/>
    <cellStyle name="40% - Accent5 9" xfId="1432"/>
    <cellStyle name="40% - Accent6" xfId="149" builtinId="51" customBuiltin="1"/>
    <cellStyle name="40% - Accent6 10" xfId="1433"/>
    <cellStyle name="40% - Accent6 11" xfId="1434"/>
    <cellStyle name="40% - Accent6 12" xfId="1435"/>
    <cellStyle name="40% - Accent6 13" xfId="1436"/>
    <cellStyle name="40% - Accent6 14" xfId="1437"/>
    <cellStyle name="40% - Accent6 15" xfId="1438"/>
    <cellStyle name="40% - Accent6 16" xfId="1439"/>
    <cellStyle name="40% - Accent6 2" xfId="14"/>
    <cellStyle name="40% - Accent6 2 10" xfId="1441"/>
    <cellStyle name="40% - Accent6 2 11" xfId="1442"/>
    <cellStyle name="40% - Accent6 2 12" xfId="1443"/>
    <cellStyle name="40% - Accent6 2 13" xfId="1444"/>
    <cellStyle name="40% - Accent6 2 14" xfId="1445"/>
    <cellStyle name="40% - Accent6 2 15" xfId="1446"/>
    <cellStyle name="40% - Accent6 2 16" xfId="1447"/>
    <cellStyle name="40% - Accent6 2 17" xfId="1448"/>
    <cellStyle name="40% - Accent6 2 18" xfId="1449"/>
    <cellStyle name="40% - Accent6 2 19" xfId="1450"/>
    <cellStyle name="40% - Accent6 2 2" xfId="1451"/>
    <cellStyle name="40% - Accent6 2 20" xfId="1452"/>
    <cellStyle name="40% - Accent6 2 21" xfId="1453"/>
    <cellStyle name="40% - Accent6 2 22" xfId="1454"/>
    <cellStyle name="40% - Accent6 2 23" xfId="1455"/>
    <cellStyle name="40% - Accent6 2 24" xfId="1456"/>
    <cellStyle name="40% - Accent6 2 25" xfId="1457"/>
    <cellStyle name="40% - Accent6 2 26" xfId="1458"/>
    <cellStyle name="40% - Accent6 2 27" xfId="1459"/>
    <cellStyle name="40% - Accent6 2 28" xfId="1460"/>
    <cellStyle name="40% - Accent6 2 29" xfId="1461"/>
    <cellStyle name="40% - Accent6 2 3" xfId="1462"/>
    <cellStyle name="40% - Accent6 2 30" xfId="1463"/>
    <cellStyle name="40% - Accent6 2 31" xfId="1464"/>
    <cellStyle name="40% - Accent6 2 32" xfId="1465"/>
    <cellStyle name="40% - Accent6 2 33" xfId="1440"/>
    <cellStyle name="40% - Accent6 2 4" xfId="1466"/>
    <cellStyle name="40% - Accent6 2 5" xfId="1467"/>
    <cellStyle name="40% - Accent6 2 6" xfId="1468"/>
    <cellStyle name="40% - Accent6 2 7" xfId="1469"/>
    <cellStyle name="40% - Accent6 2 8" xfId="1470"/>
    <cellStyle name="40% - Accent6 2 9" xfId="1471"/>
    <cellStyle name="40% - Accent6 3" xfId="1472"/>
    <cellStyle name="40% - Accent6 3 10" xfId="1473"/>
    <cellStyle name="40% - Accent6 3 11" xfId="1474"/>
    <cellStyle name="40% - Accent6 3 12" xfId="1475"/>
    <cellStyle name="40% - Accent6 3 13" xfId="1476"/>
    <cellStyle name="40% - Accent6 3 14" xfId="1477"/>
    <cellStyle name="40% - Accent6 3 15" xfId="1478"/>
    <cellStyle name="40% - Accent6 3 16" xfId="1479"/>
    <cellStyle name="40% - Accent6 3 17" xfId="1480"/>
    <cellStyle name="40% - Accent6 3 18" xfId="1481"/>
    <cellStyle name="40% - Accent6 3 19" xfId="1482"/>
    <cellStyle name="40% - Accent6 3 2" xfId="1483"/>
    <cellStyle name="40% - Accent6 3 20" xfId="1484"/>
    <cellStyle name="40% - Accent6 3 21" xfId="1485"/>
    <cellStyle name="40% - Accent6 3 22" xfId="1486"/>
    <cellStyle name="40% - Accent6 3 23" xfId="1487"/>
    <cellStyle name="40% - Accent6 3 24" xfId="1488"/>
    <cellStyle name="40% - Accent6 3 3" xfId="1489"/>
    <cellStyle name="40% - Accent6 3 4" xfId="1490"/>
    <cellStyle name="40% - Accent6 3 5" xfId="1491"/>
    <cellStyle name="40% - Accent6 3 6" xfId="1492"/>
    <cellStyle name="40% - Accent6 3 7" xfId="1493"/>
    <cellStyle name="40% - Accent6 3 8" xfId="1494"/>
    <cellStyle name="40% - Accent6 3 9" xfId="1495"/>
    <cellStyle name="40% - Accent6 4" xfId="1496"/>
    <cellStyle name="40% - Accent6 4 10" xfId="1497"/>
    <cellStyle name="40% - Accent6 4 11" xfId="1498"/>
    <cellStyle name="40% - Accent6 4 12" xfId="1499"/>
    <cellStyle name="40% - Accent6 4 13" xfId="1500"/>
    <cellStyle name="40% - Accent6 4 14" xfId="1501"/>
    <cellStyle name="40% - Accent6 4 15" xfId="1502"/>
    <cellStyle name="40% - Accent6 4 16" xfId="1503"/>
    <cellStyle name="40% - Accent6 4 17" xfId="1504"/>
    <cellStyle name="40% - Accent6 4 18" xfId="1505"/>
    <cellStyle name="40% - Accent6 4 19" xfId="1506"/>
    <cellStyle name="40% - Accent6 4 2" xfId="1507"/>
    <cellStyle name="40% - Accent6 4 20" xfId="1508"/>
    <cellStyle name="40% - Accent6 4 21" xfId="1509"/>
    <cellStyle name="40% - Accent6 4 3" xfId="1510"/>
    <cellStyle name="40% - Accent6 4 4" xfId="1511"/>
    <cellStyle name="40% - Accent6 4 5" xfId="1512"/>
    <cellStyle name="40% - Accent6 4 6" xfId="1513"/>
    <cellStyle name="40% - Accent6 4 7" xfId="1514"/>
    <cellStyle name="40% - Accent6 4 8" xfId="1515"/>
    <cellStyle name="40% - Accent6 4 9" xfId="1516"/>
    <cellStyle name="40% - Accent6 5" xfId="1517"/>
    <cellStyle name="40% - Accent6 6" xfId="1518"/>
    <cellStyle name="40% - Accent6 7" xfId="1519"/>
    <cellStyle name="40% - Accent6 8" xfId="1520"/>
    <cellStyle name="40% - Accent6 9" xfId="1521"/>
    <cellStyle name="40% - Akzent1" xfId="1522"/>
    <cellStyle name="40% - Akzent1 2" xfId="1523"/>
    <cellStyle name="40% - Akzent2" xfId="1524"/>
    <cellStyle name="40% - Akzent2 2" xfId="1525"/>
    <cellStyle name="40% - Akzent3" xfId="1526"/>
    <cellStyle name="40% - Akzent3 2" xfId="1527"/>
    <cellStyle name="40% - Akzent4" xfId="1528"/>
    <cellStyle name="40% - Akzent4 2" xfId="1529"/>
    <cellStyle name="40% - Akzent5" xfId="1530"/>
    <cellStyle name="40% - Akzent5 2" xfId="1531"/>
    <cellStyle name="40% - Akzent6" xfId="1532"/>
    <cellStyle name="40% - Akzent6 2" xfId="1533"/>
    <cellStyle name="40% - Isticanje1 2" xfId="1535"/>
    <cellStyle name="40% - Isticanje1 2 2" xfId="1536"/>
    <cellStyle name="40% - Isticanje1 3" xfId="1537"/>
    <cellStyle name="40% - Isticanje1 4" xfId="1538"/>
    <cellStyle name="40% - Isticanje1 4 2" xfId="1539"/>
    <cellStyle name="40% - Isticanje2 2" xfId="1540"/>
    <cellStyle name="40% - Isticanje2 2 2" xfId="1541"/>
    <cellStyle name="40% - Isticanje2 3" xfId="1542"/>
    <cellStyle name="40% - Isticanje2 4" xfId="1543"/>
    <cellStyle name="40% - Isticanje2 5" xfId="1544"/>
    <cellStyle name="40% - Isticanje2 6" xfId="1545"/>
    <cellStyle name="40% - Isticanje3 2" xfId="1546"/>
    <cellStyle name="40% - Isticanje3 2 2" xfId="1547"/>
    <cellStyle name="40% - Isticanje3 2 3" xfId="1548"/>
    <cellStyle name="40% - Isticanje3 3" xfId="1549"/>
    <cellStyle name="40% - Isticanje3 4" xfId="1550"/>
    <cellStyle name="40% - Isticanje3 5" xfId="1551"/>
    <cellStyle name="40% - Isticanje3 6" xfId="1552"/>
    <cellStyle name="40% - Isticanje3 6 2" xfId="1553"/>
    <cellStyle name="40% - Isticanje4 2" xfId="1554"/>
    <cellStyle name="40% - Isticanje4 2 2" xfId="1555"/>
    <cellStyle name="40% - Isticanje4 2 3" xfId="1556"/>
    <cellStyle name="40% - Isticanje4 3" xfId="1557"/>
    <cellStyle name="40% - Isticanje4 4" xfId="1558"/>
    <cellStyle name="40% - Isticanje4 5" xfId="1559"/>
    <cellStyle name="40% - Isticanje4 6" xfId="1560"/>
    <cellStyle name="40% - Isticanje4 6 2" xfId="1561"/>
    <cellStyle name="40% - Isticanje5 2" xfId="1562"/>
    <cellStyle name="40% - Isticanje5 2 2" xfId="1563"/>
    <cellStyle name="40% - Isticanje5 2 3" xfId="1564"/>
    <cellStyle name="40% - Isticanje5 3" xfId="1565"/>
    <cellStyle name="40% - Isticanje5 4" xfId="1566"/>
    <cellStyle name="40% - Isticanje5 5" xfId="1567"/>
    <cellStyle name="40% - Isticanje5 6" xfId="1568"/>
    <cellStyle name="40% - Isticanje5 7" xfId="1569"/>
    <cellStyle name="40% - Isticanje5 7 2" xfId="1570"/>
    <cellStyle name="40% - Isticanje6 2" xfId="1571"/>
    <cellStyle name="40% - Isticanje6 2 2" xfId="1572"/>
    <cellStyle name="40% - Isticanje6 2 3" xfId="1573"/>
    <cellStyle name="40% - Isticanje6 3" xfId="1574"/>
    <cellStyle name="40% - Isticanje6 4" xfId="1575"/>
    <cellStyle name="40% - Isticanje6 5" xfId="1576"/>
    <cellStyle name="40% - Isticanje6 6" xfId="1577"/>
    <cellStyle name="40% - Isticanje6 6 2" xfId="1578"/>
    <cellStyle name="40% - Naglasak1 2" xfId="1579"/>
    <cellStyle name="40% - Naglasak1 2 2" xfId="1580"/>
    <cellStyle name="40% - Naglasak1 3" xfId="1581"/>
    <cellStyle name="40% - Naglasak1 4" xfId="1582"/>
    <cellStyle name="40% - Naglasak1 5" xfId="1583"/>
    <cellStyle name="60 % – Poudarek1" xfId="1584"/>
    <cellStyle name="60 % – Poudarek2" xfId="1585"/>
    <cellStyle name="60 % – Poudarek3" xfId="1586"/>
    <cellStyle name="60 % – Poudarek4" xfId="1587"/>
    <cellStyle name="60 % – Poudarek5" xfId="1588"/>
    <cellStyle name="60 % – Poudarek6" xfId="1589"/>
    <cellStyle name="60 % - Accent1" xfId="1590"/>
    <cellStyle name="60 % - Accent2" xfId="1591"/>
    <cellStyle name="60 % - Accent3" xfId="1592"/>
    <cellStyle name="60 % - Accent4" xfId="1593"/>
    <cellStyle name="60 % - Accent5" xfId="1594"/>
    <cellStyle name="60 % - Accent6" xfId="1595"/>
    <cellStyle name="60% - Accent1 10" xfId="1596"/>
    <cellStyle name="60% - Accent1 11" xfId="1597"/>
    <cellStyle name="60% - Accent1 12" xfId="1598"/>
    <cellStyle name="60% - Accent1 13" xfId="1599"/>
    <cellStyle name="60% - Accent1 14" xfId="1600"/>
    <cellStyle name="60% - Accent1 15" xfId="1601"/>
    <cellStyle name="60% - Accent1 2" xfId="15"/>
    <cellStyle name="60% - Accent1 2 2" xfId="1602"/>
    <cellStyle name="60% - Accent1 3" xfId="1603"/>
    <cellStyle name="60% - Accent1 3 10" xfId="1604"/>
    <cellStyle name="60% - Accent1 3 11" xfId="1605"/>
    <cellStyle name="60% - Accent1 3 12" xfId="1606"/>
    <cellStyle name="60% - Accent1 3 13" xfId="1607"/>
    <cellStyle name="60% - Accent1 3 14" xfId="1608"/>
    <cellStyle name="60% - Accent1 3 15" xfId="1609"/>
    <cellStyle name="60% - Accent1 3 16" xfId="1610"/>
    <cellStyle name="60% - Accent1 3 17" xfId="1611"/>
    <cellStyle name="60% - Accent1 3 18" xfId="1612"/>
    <cellStyle name="60% - Accent1 3 19" xfId="1613"/>
    <cellStyle name="60% - Accent1 3 2" xfId="1614"/>
    <cellStyle name="60% - Accent1 3 20" xfId="1615"/>
    <cellStyle name="60% - Accent1 3 21" xfId="1616"/>
    <cellStyle name="60% - Accent1 3 22" xfId="1617"/>
    <cellStyle name="60% - Accent1 3 23" xfId="1618"/>
    <cellStyle name="60% - Accent1 3 24" xfId="1619"/>
    <cellStyle name="60% - Accent1 3 3" xfId="1620"/>
    <cellStyle name="60% - Accent1 3 4" xfId="1621"/>
    <cellStyle name="60% - Accent1 3 5" xfId="1622"/>
    <cellStyle name="60% - Accent1 3 6" xfId="1623"/>
    <cellStyle name="60% - Accent1 3 7" xfId="1624"/>
    <cellStyle name="60% - Accent1 3 8" xfId="1625"/>
    <cellStyle name="60% - Accent1 3 9" xfId="1626"/>
    <cellStyle name="60% - Accent1 4" xfId="1627"/>
    <cellStyle name="60% - Accent1 4 10" xfId="1628"/>
    <cellStyle name="60% - Accent1 4 11" xfId="1629"/>
    <cellStyle name="60% - Accent1 4 12" xfId="1630"/>
    <cellStyle name="60% - Accent1 4 13" xfId="1631"/>
    <cellStyle name="60% - Accent1 4 14" xfId="1632"/>
    <cellStyle name="60% - Accent1 4 15" xfId="1633"/>
    <cellStyle name="60% - Accent1 4 16" xfId="1634"/>
    <cellStyle name="60% - Accent1 4 17" xfId="1635"/>
    <cellStyle name="60% - Accent1 4 18" xfId="1636"/>
    <cellStyle name="60% - Accent1 4 19" xfId="1637"/>
    <cellStyle name="60% - Accent1 4 2" xfId="1638"/>
    <cellStyle name="60% - Accent1 4 20" xfId="1639"/>
    <cellStyle name="60% - Accent1 4 21" xfId="1640"/>
    <cellStyle name="60% - Accent1 4 3" xfId="1641"/>
    <cellStyle name="60% - Accent1 4 4" xfId="1642"/>
    <cellStyle name="60% - Accent1 4 5" xfId="1643"/>
    <cellStyle name="60% - Accent1 4 6" xfId="1644"/>
    <cellStyle name="60% - Accent1 4 7" xfId="1645"/>
    <cellStyle name="60% - Accent1 4 8" xfId="1646"/>
    <cellStyle name="60% - Accent1 4 9" xfId="1647"/>
    <cellStyle name="60% - Accent1 5" xfId="1648"/>
    <cellStyle name="60% - Accent1 6" xfId="1649"/>
    <cellStyle name="60% - Accent1 7" xfId="1650"/>
    <cellStyle name="60% - Accent1 8" xfId="1651"/>
    <cellStyle name="60% - Accent1 9" xfId="1652"/>
    <cellStyle name="60% - Accent2 10" xfId="1653"/>
    <cellStyle name="60% - Accent2 11" xfId="1654"/>
    <cellStyle name="60% - Accent2 12" xfId="1655"/>
    <cellStyle name="60% - Accent2 13" xfId="1656"/>
    <cellStyle name="60% - Accent2 14" xfId="1657"/>
    <cellStyle name="60% - Accent2 15" xfId="1658"/>
    <cellStyle name="60% - Accent2 2" xfId="16"/>
    <cellStyle name="60% - Accent2 2 2" xfId="1659"/>
    <cellStyle name="60% - Accent2 3" xfId="1660"/>
    <cellStyle name="60% - Accent2 3 10" xfId="1661"/>
    <cellStyle name="60% - Accent2 3 11" xfId="1662"/>
    <cellStyle name="60% - Accent2 3 12" xfId="1663"/>
    <cellStyle name="60% - Accent2 3 13" xfId="1664"/>
    <cellStyle name="60% - Accent2 3 14" xfId="1665"/>
    <cellStyle name="60% - Accent2 3 15" xfId="1666"/>
    <cellStyle name="60% - Accent2 3 16" xfId="1667"/>
    <cellStyle name="60% - Accent2 3 17" xfId="1668"/>
    <cellStyle name="60% - Accent2 3 18" xfId="1669"/>
    <cellStyle name="60% - Accent2 3 19" xfId="1670"/>
    <cellStyle name="60% - Accent2 3 2" xfId="1671"/>
    <cellStyle name="60% - Accent2 3 20" xfId="1672"/>
    <cellStyle name="60% - Accent2 3 21" xfId="1673"/>
    <cellStyle name="60% - Accent2 3 22" xfId="1674"/>
    <cellStyle name="60% - Accent2 3 23" xfId="1675"/>
    <cellStyle name="60% - Accent2 3 24" xfId="1676"/>
    <cellStyle name="60% - Accent2 3 3" xfId="1677"/>
    <cellStyle name="60% - Accent2 3 4" xfId="1678"/>
    <cellStyle name="60% - Accent2 3 5" xfId="1679"/>
    <cellStyle name="60% - Accent2 3 6" xfId="1680"/>
    <cellStyle name="60% - Accent2 3 7" xfId="1681"/>
    <cellStyle name="60% - Accent2 3 8" xfId="1682"/>
    <cellStyle name="60% - Accent2 3 9" xfId="1683"/>
    <cellStyle name="60% - Accent2 4" xfId="1684"/>
    <cellStyle name="60% - Accent2 4 10" xfId="1685"/>
    <cellStyle name="60% - Accent2 4 11" xfId="1686"/>
    <cellStyle name="60% - Accent2 4 12" xfId="1687"/>
    <cellStyle name="60% - Accent2 4 13" xfId="1688"/>
    <cellStyle name="60% - Accent2 4 14" xfId="1689"/>
    <cellStyle name="60% - Accent2 4 15" xfId="1690"/>
    <cellStyle name="60% - Accent2 4 16" xfId="1691"/>
    <cellStyle name="60% - Accent2 4 17" xfId="1692"/>
    <cellStyle name="60% - Accent2 4 18" xfId="1693"/>
    <cellStyle name="60% - Accent2 4 19" xfId="1694"/>
    <cellStyle name="60% - Accent2 4 2" xfId="1695"/>
    <cellStyle name="60% - Accent2 4 20" xfId="1696"/>
    <cellStyle name="60% - Accent2 4 21" xfId="1697"/>
    <cellStyle name="60% - Accent2 4 3" xfId="1698"/>
    <cellStyle name="60% - Accent2 4 4" xfId="1699"/>
    <cellStyle name="60% - Accent2 4 5" xfId="1700"/>
    <cellStyle name="60% - Accent2 4 6" xfId="1701"/>
    <cellStyle name="60% - Accent2 4 7" xfId="1702"/>
    <cellStyle name="60% - Accent2 4 8" xfId="1703"/>
    <cellStyle name="60% - Accent2 4 9" xfId="1704"/>
    <cellStyle name="60% - Accent2 5" xfId="1705"/>
    <cellStyle name="60% - Accent2 6" xfId="1706"/>
    <cellStyle name="60% - Accent2 7" xfId="1707"/>
    <cellStyle name="60% - Accent2 8" xfId="1708"/>
    <cellStyle name="60% - Accent2 9" xfId="1709"/>
    <cellStyle name="60% - Accent3 10" xfId="1710"/>
    <cellStyle name="60% - Accent3 11" xfId="1711"/>
    <cellStyle name="60% - Accent3 12" xfId="1712"/>
    <cellStyle name="60% - Accent3 13" xfId="1713"/>
    <cellStyle name="60% - Accent3 14" xfId="1714"/>
    <cellStyle name="60% - Accent3 15" xfId="1715"/>
    <cellStyle name="60% - Accent3 2" xfId="17"/>
    <cellStyle name="60% - Accent3 2 2" xfId="1716"/>
    <cellStyle name="60% - Accent3 3" xfId="1717"/>
    <cellStyle name="60% - Accent3 3 10" xfId="1718"/>
    <cellStyle name="60% - Accent3 3 11" xfId="1719"/>
    <cellStyle name="60% - Accent3 3 12" xfId="1720"/>
    <cellStyle name="60% - Accent3 3 13" xfId="1721"/>
    <cellStyle name="60% - Accent3 3 14" xfId="1722"/>
    <cellStyle name="60% - Accent3 3 15" xfId="1723"/>
    <cellStyle name="60% - Accent3 3 16" xfId="1724"/>
    <cellStyle name="60% - Accent3 3 17" xfId="1725"/>
    <cellStyle name="60% - Accent3 3 18" xfId="1726"/>
    <cellStyle name="60% - Accent3 3 19" xfId="1727"/>
    <cellStyle name="60% - Accent3 3 2" xfId="1728"/>
    <cellStyle name="60% - Accent3 3 20" xfId="1729"/>
    <cellStyle name="60% - Accent3 3 21" xfId="1730"/>
    <cellStyle name="60% - Accent3 3 22" xfId="1731"/>
    <cellStyle name="60% - Accent3 3 23" xfId="1732"/>
    <cellStyle name="60% - Accent3 3 24" xfId="1733"/>
    <cellStyle name="60% - Accent3 3 3" xfId="1734"/>
    <cellStyle name="60% - Accent3 3 4" xfId="1735"/>
    <cellStyle name="60% - Accent3 3 5" xfId="1736"/>
    <cellStyle name="60% - Accent3 3 6" xfId="1737"/>
    <cellStyle name="60% - Accent3 3 7" xfId="1738"/>
    <cellStyle name="60% - Accent3 3 8" xfId="1739"/>
    <cellStyle name="60% - Accent3 3 9" xfId="1740"/>
    <cellStyle name="60% - Accent3 4" xfId="1741"/>
    <cellStyle name="60% - Accent3 4 10" xfId="1742"/>
    <cellStyle name="60% - Accent3 4 11" xfId="1743"/>
    <cellStyle name="60% - Accent3 4 12" xfId="1744"/>
    <cellStyle name="60% - Accent3 4 13" xfId="1745"/>
    <cellStyle name="60% - Accent3 4 14" xfId="1746"/>
    <cellStyle name="60% - Accent3 4 15" xfId="1747"/>
    <cellStyle name="60% - Accent3 4 16" xfId="1748"/>
    <cellStyle name="60% - Accent3 4 17" xfId="1749"/>
    <cellStyle name="60% - Accent3 4 18" xfId="1750"/>
    <cellStyle name="60% - Accent3 4 19" xfId="1751"/>
    <cellStyle name="60% - Accent3 4 2" xfId="1752"/>
    <cellStyle name="60% - Accent3 4 20" xfId="1753"/>
    <cellStyle name="60% - Accent3 4 21" xfId="1754"/>
    <cellStyle name="60% - Accent3 4 3" xfId="1755"/>
    <cellStyle name="60% - Accent3 4 4" xfId="1756"/>
    <cellStyle name="60% - Accent3 4 5" xfId="1757"/>
    <cellStyle name="60% - Accent3 4 6" xfId="1758"/>
    <cellStyle name="60% - Accent3 4 7" xfId="1759"/>
    <cellStyle name="60% - Accent3 4 8" xfId="1760"/>
    <cellStyle name="60% - Accent3 4 9" xfId="1761"/>
    <cellStyle name="60% - Accent3 5" xfId="1762"/>
    <cellStyle name="60% - Accent3 6" xfId="1763"/>
    <cellStyle name="60% - Accent3 7" xfId="1764"/>
    <cellStyle name="60% - Accent3 8" xfId="1765"/>
    <cellStyle name="60% - Accent3 9" xfId="1766"/>
    <cellStyle name="60% - Accent4 10" xfId="1767"/>
    <cellStyle name="60% - Accent4 11" xfId="1768"/>
    <cellStyle name="60% - Accent4 12" xfId="1769"/>
    <cellStyle name="60% - Accent4 13" xfId="1770"/>
    <cellStyle name="60% - Accent4 14" xfId="1771"/>
    <cellStyle name="60% - Accent4 15" xfId="1772"/>
    <cellStyle name="60% - Accent4 2" xfId="18"/>
    <cellStyle name="60% - Accent4 2 2" xfId="1773"/>
    <cellStyle name="60% - Accent4 3" xfId="1774"/>
    <cellStyle name="60% - Accent4 3 10" xfId="1775"/>
    <cellStyle name="60% - Accent4 3 11" xfId="1776"/>
    <cellStyle name="60% - Accent4 3 12" xfId="1777"/>
    <cellStyle name="60% - Accent4 3 13" xfId="1778"/>
    <cellStyle name="60% - Accent4 3 14" xfId="1779"/>
    <cellStyle name="60% - Accent4 3 15" xfId="1780"/>
    <cellStyle name="60% - Accent4 3 16" xfId="1781"/>
    <cellStyle name="60% - Accent4 3 17" xfId="1782"/>
    <cellStyle name="60% - Accent4 3 18" xfId="1783"/>
    <cellStyle name="60% - Accent4 3 19" xfId="1784"/>
    <cellStyle name="60% - Accent4 3 2" xfId="1785"/>
    <cellStyle name="60% - Accent4 3 20" xfId="1786"/>
    <cellStyle name="60% - Accent4 3 21" xfId="1787"/>
    <cellStyle name="60% - Accent4 3 22" xfId="1788"/>
    <cellStyle name="60% - Accent4 3 23" xfId="1789"/>
    <cellStyle name="60% - Accent4 3 24" xfId="1790"/>
    <cellStyle name="60% - Accent4 3 3" xfId="1791"/>
    <cellStyle name="60% - Accent4 3 4" xfId="1792"/>
    <cellStyle name="60% - Accent4 3 5" xfId="1793"/>
    <cellStyle name="60% - Accent4 3 6" xfId="1794"/>
    <cellStyle name="60% - Accent4 3 7" xfId="1795"/>
    <cellStyle name="60% - Accent4 3 8" xfId="1796"/>
    <cellStyle name="60% - Accent4 3 9" xfId="1797"/>
    <cellStyle name="60% - Accent4 4" xfId="1798"/>
    <cellStyle name="60% - Accent4 4 10" xfId="1799"/>
    <cellStyle name="60% - Accent4 4 11" xfId="1800"/>
    <cellStyle name="60% - Accent4 4 12" xfId="1801"/>
    <cellStyle name="60% - Accent4 4 13" xfId="1802"/>
    <cellStyle name="60% - Accent4 4 14" xfId="1803"/>
    <cellStyle name="60% - Accent4 4 15" xfId="1804"/>
    <cellStyle name="60% - Accent4 4 16" xfId="1805"/>
    <cellStyle name="60% - Accent4 4 17" xfId="1806"/>
    <cellStyle name="60% - Accent4 4 18" xfId="1807"/>
    <cellStyle name="60% - Accent4 4 19" xfId="1808"/>
    <cellStyle name="60% - Accent4 4 2" xfId="1809"/>
    <cellStyle name="60% - Accent4 4 20" xfId="1810"/>
    <cellStyle name="60% - Accent4 4 21" xfId="1811"/>
    <cellStyle name="60% - Accent4 4 3" xfId="1812"/>
    <cellStyle name="60% - Accent4 4 4" xfId="1813"/>
    <cellStyle name="60% - Accent4 4 5" xfId="1814"/>
    <cellStyle name="60% - Accent4 4 6" xfId="1815"/>
    <cellStyle name="60% - Accent4 4 7" xfId="1816"/>
    <cellStyle name="60% - Accent4 4 8" xfId="1817"/>
    <cellStyle name="60% - Accent4 4 9" xfId="1818"/>
    <cellStyle name="60% - Accent4 5" xfId="1819"/>
    <cellStyle name="60% - Accent4 6" xfId="1820"/>
    <cellStyle name="60% - Accent4 7" xfId="1821"/>
    <cellStyle name="60% - Accent4 8" xfId="1822"/>
    <cellStyle name="60% - Accent4 9" xfId="1823"/>
    <cellStyle name="60% - Accent5 10" xfId="1824"/>
    <cellStyle name="60% - Accent5 11" xfId="1825"/>
    <cellStyle name="60% - Accent5 12" xfId="1826"/>
    <cellStyle name="60% - Accent5 13" xfId="1827"/>
    <cellStyle name="60% - Accent5 14" xfId="1828"/>
    <cellStyle name="60% - Accent5 15" xfId="1829"/>
    <cellStyle name="60% - Accent5 2" xfId="19"/>
    <cellStyle name="60% - Accent5 2 2" xfId="1830"/>
    <cellStyle name="60% - Accent5 3" xfId="1831"/>
    <cellStyle name="60% - Accent5 3 10" xfId="1832"/>
    <cellStyle name="60% - Accent5 3 11" xfId="1833"/>
    <cellStyle name="60% - Accent5 3 12" xfId="1834"/>
    <cellStyle name="60% - Accent5 3 13" xfId="1835"/>
    <cellStyle name="60% - Accent5 3 14" xfId="1836"/>
    <cellStyle name="60% - Accent5 3 15" xfId="1837"/>
    <cellStyle name="60% - Accent5 3 16" xfId="1838"/>
    <cellStyle name="60% - Accent5 3 17" xfId="1839"/>
    <cellStyle name="60% - Accent5 3 18" xfId="1840"/>
    <cellStyle name="60% - Accent5 3 19" xfId="1841"/>
    <cellStyle name="60% - Accent5 3 2" xfId="1842"/>
    <cellStyle name="60% - Accent5 3 20" xfId="1843"/>
    <cellStyle name="60% - Accent5 3 21" xfId="1844"/>
    <cellStyle name="60% - Accent5 3 22" xfId="1845"/>
    <cellStyle name="60% - Accent5 3 23" xfId="1846"/>
    <cellStyle name="60% - Accent5 3 24" xfId="1847"/>
    <cellStyle name="60% - Accent5 3 3" xfId="1848"/>
    <cellStyle name="60% - Accent5 3 4" xfId="1849"/>
    <cellStyle name="60% - Accent5 3 5" xfId="1850"/>
    <cellStyle name="60% - Accent5 3 6" xfId="1851"/>
    <cellStyle name="60% - Accent5 3 7" xfId="1852"/>
    <cellStyle name="60% - Accent5 3 8" xfId="1853"/>
    <cellStyle name="60% - Accent5 3 9" xfId="1854"/>
    <cellStyle name="60% - Accent5 4" xfId="1855"/>
    <cellStyle name="60% - Accent5 4 10" xfId="1856"/>
    <cellStyle name="60% - Accent5 4 11" xfId="1857"/>
    <cellStyle name="60% - Accent5 4 12" xfId="1858"/>
    <cellStyle name="60% - Accent5 4 13" xfId="1859"/>
    <cellStyle name="60% - Accent5 4 14" xfId="1860"/>
    <cellStyle name="60% - Accent5 4 15" xfId="1861"/>
    <cellStyle name="60% - Accent5 4 16" xfId="1862"/>
    <cellStyle name="60% - Accent5 4 17" xfId="1863"/>
    <cellStyle name="60% - Accent5 4 18" xfId="1864"/>
    <cellStyle name="60% - Accent5 4 19" xfId="1865"/>
    <cellStyle name="60% - Accent5 4 2" xfId="1866"/>
    <cellStyle name="60% - Accent5 4 20" xfId="1867"/>
    <cellStyle name="60% - Accent5 4 21" xfId="1868"/>
    <cellStyle name="60% - Accent5 4 3" xfId="1869"/>
    <cellStyle name="60% - Accent5 4 4" xfId="1870"/>
    <cellStyle name="60% - Accent5 4 5" xfId="1871"/>
    <cellStyle name="60% - Accent5 4 6" xfId="1872"/>
    <cellStyle name="60% - Accent5 4 7" xfId="1873"/>
    <cellStyle name="60% - Accent5 4 8" xfId="1874"/>
    <cellStyle name="60% - Accent5 4 9" xfId="1875"/>
    <cellStyle name="60% - Accent5 5" xfId="1876"/>
    <cellStyle name="60% - Accent5 6" xfId="1877"/>
    <cellStyle name="60% - Accent5 7" xfId="1878"/>
    <cellStyle name="60% - Accent5 8" xfId="1879"/>
    <cellStyle name="60% - Accent5 9" xfId="1880"/>
    <cellStyle name="60% - Accent6 10" xfId="1881"/>
    <cellStyle name="60% - Accent6 11" xfId="1882"/>
    <cellStyle name="60% - Accent6 12" xfId="1883"/>
    <cellStyle name="60% - Accent6 13" xfId="1884"/>
    <cellStyle name="60% - Accent6 14" xfId="1885"/>
    <cellStyle name="60% - Accent6 15" xfId="1886"/>
    <cellStyle name="60% - Accent6 2" xfId="20"/>
    <cellStyle name="60% - Accent6 2 2" xfId="1887"/>
    <cellStyle name="60% - Accent6 3" xfId="1888"/>
    <cellStyle name="60% - Accent6 3 10" xfId="1889"/>
    <cellStyle name="60% - Accent6 3 11" xfId="1890"/>
    <cellStyle name="60% - Accent6 3 12" xfId="1891"/>
    <cellStyle name="60% - Accent6 3 13" xfId="1892"/>
    <cellStyle name="60% - Accent6 3 14" xfId="1893"/>
    <cellStyle name="60% - Accent6 3 15" xfId="1894"/>
    <cellStyle name="60% - Accent6 3 16" xfId="1895"/>
    <cellStyle name="60% - Accent6 3 17" xfId="1896"/>
    <cellStyle name="60% - Accent6 3 18" xfId="1897"/>
    <cellStyle name="60% - Accent6 3 19" xfId="1898"/>
    <cellStyle name="60% - Accent6 3 2" xfId="1899"/>
    <cellStyle name="60% - Accent6 3 20" xfId="1900"/>
    <cellStyle name="60% - Accent6 3 21" xfId="1901"/>
    <cellStyle name="60% - Accent6 3 22" xfId="1902"/>
    <cellStyle name="60% - Accent6 3 23" xfId="1903"/>
    <cellStyle name="60% - Accent6 3 24" xfId="1904"/>
    <cellStyle name="60% - Accent6 3 3" xfId="1905"/>
    <cellStyle name="60% - Accent6 3 4" xfId="1906"/>
    <cellStyle name="60% - Accent6 3 5" xfId="1907"/>
    <cellStyle name="60% - Accent6 3 6" xfId="1908"/>
    <cellStyle name="60% - Accent6 3 7" xfId="1909"/>
    <cellStyle name="60% - Accent6 3 8" xfId="1910"/>
    <cellStyle name="60% - Accent6 3 9" xfId="1911"/>
    <cellStyle name="60% - Accent6 4" xfId="1912"/>
    <cellStyle name="60% - Accent6 4 10" xfId="1913"/>
    <cellStyle name="60% - Accent6 4 11" xfId="1914"/>
    <cellStyle name="60% - Accent6 4 12" xfId="1915"/>
    <cellStyle name="60% - Accent6 4 13" xfId="1916"/>
    <cellStyle name="60% - Accent6 4 14" xfId="1917"/>
    <cellStyle name="60% - Accent6 4 15" xfId="1918"/>
    <cellStyle name="60% - Accent6 4 16" xfId="1919"/>
    <cellStyle name="60% - Accent6 4 17" xfId="1920"/>
    <cellStyle name="60% - Accent6 4 18" xfId="1921"/>
    <cellStyle name="60% - Accent6 4 19" xfId="1922"/>
    <cellStyle name="60% - Accent6 4 2" xfId="1923"/>
    <cellStyle name="60% - Accent6 4 20" xfId="1924"/>
    <cellStyle name="60% - Accent6 4 21" xfId="1925"/>
    <cellStyle name="60% - Accent6 4 3" xfId="1926"/>
    <cellStyle name="60% - Accent6 4 4" xfId="1927"/>
    <cellStyle name="60% - Accent6 4 5" xfId="1928"/>
    <cellStyle name="60% - Accent6 4 6" xfId="1929"/>
    <cellStyle name="60% - Accent6 4 7" xfId="1930"/>
    <cellStyle name="60% - Accent6 4 8" xfId="1931"/>
    <cellStyle name="60% - Accent6 4 9" xfId="1932"/>
    <cellStyle name="60% - Accent6 5" xfId="1933"/>
    <cellStyle name="60% - Accent6 6" xfId="1934"/>
    <cellStyle name="60% - Accent6 7" xfId="1935"/>
    <cellStyle name="60% - Accent6 8" xfId="1936"/>
    <cellStyle name="60% - Accent6 9" xfId="1937"/>
    <cellStyle name="60% - Akzent1" xfId="1938"/>
    <cellStyle name="60% - Akzent1 2" xfId="1939"/>
    <cellStyle name="60% - Akzent2" xfId="1940"/>
    <cellStyle name="60% - Akzent2 2" xfId="1941"/>
    <cellStyle name="60% - Akzent3" xfId="1942"/>
    <cellStyle name="60% - Akzent3 2" xfId="1943"/>
    <cellStyle name="60% - Akzent4" xfId="1944"/>
    <cellStyle name="60% - Akzent4 2" xfId="1945"/>
    <cellStyle name="60% - Akzent5" xfId="1946"/>
    <cellStyle name="60% - Akzent5 2" xfId="1947"/>
    <cellStyle name="60% - Akzent6" xfId="1948"/>
    <cellStyle name="60% - Akzent6 2" xfId="1949"/>
    <cellStyle name="60% - Isticanje1 2" xfId="1950"/>
    <cellStyle name="60% - Isticanje1 3" xfId="1951"/>
    <cellStyle name="60% - Isticanje1 3 2" xfId="1952"/>
    <cellStyle name="60% - Isticanje2 2" xfId="1953"/>
    <cellStyle name="60% - Isticanje2 3" xfId="1954"/>
    <cellStyle name="60% - Isticanje2 3 2" xfId="1955"/>
    <cellStyle name="60% - Isticanje3 2" xfId="1956"/>
    <cellStyle name="60% - Isticanje3 3" xfId="1957"/>
    <cellStyle name="60% - Isticanje3 3 2" xfId="1958"/>
    <cellStyle name="60% - Isticanje4 2" xfId="1959"/>
    <cellStyle name="60% - Isticanje4 3" xfId="1960"/>
    <cellStyle name="60% - Isticanje4 3 2" xfId="1961"/>
    <cellStyle name="60% - Isticanje5 2" xfId="1962"/>
    <cellStyle name="60% - Isticanje5 3" xfId="1963"/>
    <cellStyle name="60% - Isticanje5 3 2" xfId="1964"/>
    <cellStyle name="60% - Isticanje6 2" xfId="1965"/>
    <cellStyle name="60% - Isticanje6 3" xfId="1966"/>
    <cellStyle name="60% - Isticanje6 3 2" xfId="1967"/>
    <cellStyle name="A4 Small 210 x 297 mm" xfId="1968"/>
    <cellStyle name="A4 Small 210 x 297 mm 10" xfId="1969"/>
    <cellStyle name="A4 Small 210 x 297 mm 10 2" xfId="1970"/>
    <cellStyle name="A4 Small 210 x 297 mm 10 3" xfId="1971"/>
    <cellStyle name="A4 Small 210 x 297 mm 10_BURE COMMERCE" xfId="1972"/>
    <cellStyle name="A4 Small 210 x 297 mm 11" xfId="1973"/>
    <cellStyle name="A4 Small 210 x 297 mm 11 2" xfId="1974"/>
    <cellStyle name="A4 Small 210 x 297 mm 11 3" xfId="1975"/>
    <cellStyle name="A4 Small 210 x 297 mm 11_BURE COMMERCE" xfId="1976"/>
    <cellStyle name="A4 Small 210 x 297 mm 12" xfId="1977"/>
    <cellStyle name="A4 Small 210 x 297 mm 12 2" xfId="1978"/>
    <cellStyle name="A4 Small 210 x 297 mm 12 3" xfId="1979"/>
    <cellStyle name="A4 Small 210 x 297 mm 12_BURE COMMERCE" xfId="1980"/>
    <cellStyle name="A4 Small 210 x 297 mm 13" xfId="1981"/>
    <cellStyle name="A4 Small 210 x 297 mm 13 2" xfId="1982"/>
    <cellStyle name="A4 Small 210 x 297 mm 13 3" xfId="1983"/>
    <cellStyle name="A4 Small 210 x 297 mm 13_BURE COMMERCE" xfId="1984"/>
    <cellStyle name="A4 Small 210 x 297 mm 14" xfId="1985"/>
    <cellStyle name="A4 Small 210 x 297 mm 15" xfId="1986"/>
    <cellStyle name="A4 Small 210 x 297 mm 16" xfId="1987"/>
    <cellStyle name="A4 Small 210 x 297 mm 17" xfId="1988"/>
    <cellStyle name="A4 Small 210 x 297 mm 2" xfId="1989"/>
    <cellStyle name="A4 Small 210 x 297 mm 2 2" xfId="1990"/>
    <cellStyle name="A4 Small 210 x 297 mm 2 3" xfId="1991"/>
    <cellStyle name="A4 Small 210 x 297 mm 2_BURE COMMERCE" xfId="1992"/>
    <cellStyle name="A4 Small 210 x 297 mm 3" xfId="1993"/>
    <cellStyle name="A4 Small 210 x 297 mm 3 2" xfId="1994"/>
    <cellStyle name="A4 Small 210 x 297 mm 3 3" xfId="1995"/>
    <cellStyle name="A4 Small 210 x 297 mm 3_BURE COMMERCE" xfId="1996"/>
    <cellStyle name="A4 Small 210 x 297 mm 4" xfId="1997"/>
    <cellStyle name="A4 Small 210 x 297 mm 4 2" xfId="1998"/>
    <cellStyle name="A4 Small 210 x 297 mm 4 3" xfId="1999"/>
    <cellStyle name="A4 Small 210 x 297 mm 4_BURE COMMERCE" xfId="2000"/>
    <cellStyle name="A4 Small 210 x 297 mm 5" xfId="2001"/>
    <cellStyle name="A4 Small 210 x 297 mm 5 2" xfId="2002"/>
    <cellStyle name="A4 Small 210 x 297 mm 5 3" xfId="2003"/>
    <cellStyle name="A4 Small 210 x 297 mm 5_BURE COMMERCE" xfId="2004"/>
    <cellStyle name="A4 Small 210 x 297 mm 6" xfId="2005"/>
    <cellStyle name="A4 Small 210 x 297 mm 6 2" xfId="2006"/>
    <cellStyle name="A4 Small 210 x 297 mm 6 3" xfId="2007"/>
    <cellStyle name="A4 Small 210 x 297 mm 6_BURE COMMERCE" xfId="2008"/>
    <cellStyle name="A4 Small 210 x 297 mm 7" xfId="2009"/>
    <cellStyle name="A4 Small 210 x 297 mm 7 2" xfId="2010"/>
    <cellStyle name="A4 Small 210 x 297 mm 7 3" xfId="2011"/>
    <cellStyle name="A4 Small 210 x 297 mm 7_BURE COMMERCE" xfId="2012"/>
    <cellStyle name="A4 Small 210 x 297 mm 8" xfId="2013"/>
    <cellStyle name="A4 Small 210 x 297 mm 8 2" xfId="2014"/>
    <cellStyle name="A4 Small 210 x 297 mm 8 3" xfId="2015"/>
    <cellStyle name="A4 Small 210 x 297 mm 8_BURE COMMERCE" xfId="2016"/>
    <cellStyle name="A4 Small 210 x 297 mm 9" xfId="2017"/>
    <cellStyle name="A4 Small 210 x 297 mm 9 2" xfId="2018"/>
    <cellStyle name="A4 Small 210 x 297 mm 9 3" xfId="2019"/>
    <cellStyle name="A4 Small 210 x 297 mm 9_BURE COMMERCE" xfId="2020"/>
    <cellStyle name="A4 Small 210 x 297 mm_8-PODNO GRIJANJE" xfId="2021"/>
    <cellStyle name="Accent1" xfId="133" builtinId="29" customBuiltin="1"/>
    <cellStyle name="Accent1 - 20%" xfId="2022"/>
    <cellStyle name="Accent1 - 40%" xfId="2023"/>
    <cellStyle name="Accent1 - 60%" xfId="2024"/>
    <cellStyle name="Accent1 10" xfId="2025"/>
    <cellStyle name="Accent1 11" xfId="2026"/>
    <cellStyle name="Accent1 12" xfId="2027"/>
    <cellStyle name="Accent1 13" xfId="2028"/>
    <cellStyle name="Accent1 14" xfId="2029"/>
    <cellStyle name="Accent1 2" xfId="21"/>
    <cellStyle name="Accent1 2 2" xfId="2030"/>
    <cellStyle name="Accent1 3" xfId="2031"/>
    <cellStyle name="Accent1 3 10" xfId="2032"/>
    <cellStyle name="Accent1 3 11" xfId="2033"/>
    <cellStyle name="Accent1 3 12" xfId="2034"/>
    <cellStyle name="Accent1 3 13" xfId="2035"/>
    <cellStyle name="Accent1 3 14" xfId="2036"/>
    <cellStyle name="Accent1 3 15" xfId="2037"/>
    <cellStyle name="Accent1 3 16" xfId="2038"/>
    <cellStyle name="Accent1 3 17" xfId="2039"/>
    <cellStyle name="Accent1 3 18" xfId="2040"/>
    <cellStyle name="Accent1 3 19" xfId="2041"/>
    <cellStyle name="Accent1 3 2" xfId="2042"/>
    <cellStyle name="Accent1 3 20" xfId="2043"/>
    <cellStyle name="Accent1 3 21" xfId="2044"/>
    <cellStyle name="Accent1 3 22" xfId="2045"/>
    <cellStyle name="Accent1 3 23" xfId="2046"/>
    <cellStyle name="Accent1 3 24" xfId="2047"/>
    <cellStyle name="Accent1 3 3" xfId="2048"/>
    <cellStyle name="Accent1 3 4" xfId="2049"/>
    <cellStyle name="Accent1 3 5" xfId="2050"/>
    <cellStyle name="Accent1 3 6" xfId="2051"/>
    <cellStyle name="Accent1 3 7" xfId="2052"/>
    <cellStyle name="Accent1 3 8" xfId="2053"/>
    <cellStyle name="Accent1 3 9" xfId="2054"/>
    <cellStyle name="Accent1 4" xfId="2055"/>
    <cellStyle name="Accent1 4 10" xfId="2056"/>
    <cellStyle name="Accent1 4 11" xfId="2057"/>
    <cellStyle name="Accent1 4 12" xfId="2058"/>
    <cellStyle name="Accent1 4 13" xfId="2059"/>
    <cellStyle name="Accent1 4 14" xfId="2060"/>
    <cellStyle name="Accent1 4 15" xfId="2061"/>
    <cellStyle name="Accent1 4 16" xfId="2062"/>
    <cellStyle name="Accent1 4 17" xfId="2063"/>
    <cellStyle name="Accent1 4 18" xfId="2064"/>
    <cellStyle name="Accent1 4 19" xfId="2065"/>
    <cellStyle name="Accent1 4 2" xfId="2066"/>
    <cellStyle name="Accent1 4 20" xfId="2067"/>
    <cellStyle name="Accent1 4 21" xfId="2068"/>
    <cellStyle name="Accent1 4 3" xfId="2069"/>
    <cellStyle name="Accent1 4 4" xfId="2070"/>
    <cellStyle name="Accent1 4 5" xfId="2071"/>
    <cellStyle name="Accent1 4 6" xfId="2072"/>
    <cellStyle name="Accent1 4 7" xfId="2073"/>
    <cellStyle name="Accent1 4 8" xfId="2074"/>
    <cellStyle name="Accent1 4 9" xfId="2075"/>
    <cellStyle name="Accent1 5" xfId="2076"/>
    <cellStyle name="Accent1 6" xfId="2077"/>
    <cellStyle name="Accent1 7" xfId="2078"/>
    <cellStyle name="Accent1 8" xfId="2079"/>
    <cellStyle name="Accent1 9" xfId="2080"/>
    <cellStyle name="Accent2" xfId="135" builtinId="33" customBuiltin="1"/>
    <cellStyle name="Accent2 - 20%" xfId="2081"/>
    <cellStyle name="Accent2 - 40%" xfId="2082"/>
    <cellStyle name="Accent2 - 60%" xfId="2083"/>
    <cellStyle name="Accent2 10" xfId="2084"/>
    <cellStyle name="Accent2 11" xfId="2085"/>
    <cellStyle name="Accent2 12" xfId="2086"/>
    <cellStyle name="Accent2 13" xfId="2087"/>
    <cellStyle name="Accent2 14" xfId="2088"/>
    <cellStyle name="Accent2 2" xfId="22"/>
    <cellStyle name="Accent2 2 2" xfId="2089"/>
    <cellStyle name="Accent2 3" xfId="2090"/>
    <cellStyle name="Accent2 3 10" xfId="2091"/>
    <cellStyle name="Accent2 3 11" xfId="2092"/>
    <cellStyle name="Accent2 3 12" xfId="2093"/>
    <cellStyle name="Accent2 3 13" xfId="2094"/>
    <cellStyle name="Accent2 3 14" xfId="2095"/>
    <cellStyle name="Accent2 3 15" xfId="2096"/>
    <cellStyle name="Accent2 3 16" xfId="2097"/>
    <cellStyle name="Accent2 3 17" xfId="2098"/>
    <cellStyle name="Accent2 3 18" xfId="2099"/>
    <cellStyle name="Accent2 3 19" xfId="2100"/>
    <cellStyle name="Accent2 3 2" xfId="2101"/>
    <cellStyle name="Accent2 3 20" xfId="2102"/>
    <cellStyle name="Accent2 3 21" xfId="2103"/>
    <cellStyle name="Accent2 3 22" xfId="2104"/>
    <cellStyle name="Accent2 3 23" xfId="2105"/>
    <cellStyle name="Accent2 3 24" xfId="2106"/>
    <cellStyle name="Accent2 3 3" xfId="2107"/>
    <cellStyle name="Accent2 3 4" xfId="2108"/>
    <cellStyle name="Accent2 3 5" xfId="2109"/>
    <cellStyle name="Accent2 3 6" xfId="2110"/>
    <cellStyle name="Accent2 3 7" xfId="2111"/>
    <cellStyle name="Accent2 3 8" xfId="2112"/>
    <cellStyle name="Accent2 3 9" xfId="2113"/>
    <cellStyle name="Accent2 4" xfId="2114"/>
    <cellStyle name="Accent2 4 10" xfId="2115"/>
    <cellStyle name="Accent2 4 11" xfId="2116"/>
    <cellStyle name="Accent2 4 12" xfId="2117"/>
    <cellStyle name="Accent2 4 13" xfId="2118"/>
    <cellStyle name="Accent2 4 14" xfId="2119"/>
    <cellStyle name="Accent2 4 15" xfId="2120"/>
    <cellStyle name="Accent2 4 16" xfId="2121"/>
    <cellStyle name="Accent2 4 17" xfId="2122"/>
    <cellStyle name="Accent2 4 18" xfId="2123"/>
    <cellStyle name="Accent2 4 19" xfId="2124"/>
    <cellStyle name="Accent2 4 2" xfId="2125"/>
    <cellStyle name="Accent2 4 20" xfId="2126"/>
    <cellStyle name="Accent2 4 21" xfId="2127"/>
    <cellStyle name="Accent2 4 3" xfId="2128"/>
    <cellStyle name="Accent2 4 4" xfId="2129"/>
    <cellStyle name="Accent2 4 5" xfId="2130"/>
    <cellStyle name="Accent2 4 6" xfId="2131"/>
    <cellStyle name="Accent2 4 7" xfId="2132"/>
    <cellStyle name="Accent2 4 8" xfId="2133"/>
    <cellStyle name="Accent2 4 9" xfId="2134"/>
    <cellStyle name="Accent2 5" xfId="2135"/>
    <cellStyle name="Accent2 6" xfId="2136"/>
    <cellStyle name="Accent2 7" xfId="2137"/>
    <cellStyle name="Accent2 8" xfId="2138"/>
    <cellStyle name="Accent2 9" xfId="2139"/>
    <cellStyle name="Accent3" xfId="138" builtinId="37" customBuiltin="1"/>
    <cellStyle name="Accent3 - 20%" xfId="2140"/>
    <cellStyle name="Accent3 - 40%" xfId="2141"/>
    <cellStyle name="Accent3 - 60%" xfId="2142"/>
    <cellStyle name="Accent3 10" xfId="2143"/>
    <cellStyle name="Accent3 11" xfId="2144"/>
    <cellStyle name="Accent3 12" xfId="2145"/>
    <cellStyle name="Accent3 13" xfId="2146"/>
    <cellStyle name="Accent3 14" xfId="2147"/>
    <cellStyle name="Accent3 2" xfId="23"/>
    <cellStyle name="Accent3 2 2" xfId="2148"/>
    <cellStyle name="Accent3 3" xfId="2149"/>
    <cellStyle name="Accent3 3 10" xfId="2150"/>
    <cellStyle name="Accent3 3 11" xfId="2151"/>
    <cellStyle name="Accent3 3 12" xfId="2152"/>
    <cellStyle name="Accent3 3 13" xfId="2153"/>
    <cellStyle name="Accent3 3 14" xfId="2154"/>
    <cellStyle name="Accent3 3 15" xfId="2155"/>
    <cellStyle name="Accent3 3 16" xfId="2156"/>
    <cellStyle name="Accent3 3 17" xfId="2157"/>
    <cellStyle name="Accent3 3 18" xfId="2158"/>
    <cellStyle name="Accent3 3 19" xfId="2159"/>
    <cellStyle name="Accent3 3 2" xfId="2160"/>
    <cellStyle name="Accent3 3 20" xfId="2161"/>
    <cellStyle name="Accent3 3 21" xfId="2162"/>
    <cellStyle name="Accent3 3 22" xfId="2163"/>
    <cellStyle name="Accent3 3 23" xfId="2164"/>
    <cellStyle name="Accent3 3 24" xfId="2165"/>
    <cellStyle name="Accent3 3 3" xfId="2166"/>
    <cellStyle name="Accent3 3 4" xfId="2167"/>
    <cellStyle name="Accent3 3 5" xfId="2168"/>
    <cellStyle name="Accent3 3 6" xfId="2169"/>
    <cellStyle name="Accent3 3 7" xfId="2170"/>
    <cellStyle name="Accent3 3 8" xfId="2171"/>
    <cellStyle name="Accent3 3 9" xfId="2172"/>
    <cellStyle name="Accent3 4" xfId="2173"/>
    <cellStyle name="Accent3 4 10" xfId="2174"/>
    <cellStyle name="Accent3 4 11" xfId="2175"/>
    <cellStyle name="Accent3 4 12" xfId="2176"/>
    <cellStyle name="Accent3 4 13" xfId="2177"/>
    <cellStyle name="Accent3 4 14" xfId="2178"/>
    <cellStyle name="Accent3 4 15" xfId="2179"/>
    <cellStyle name="Accent3 4 16" xfId="2180"/>
    <cellStyle name="Accent3 4 17" xfId="2181"/>
    <cellStyle name="Accent3 4 18" xfId="2182"/>
    <cellStyle name="Accent3 4 19" xfId="2183"/>
    <cellStyle name="Accent3 4 2" xfId="2184"/>
    <cellStyle name="Accent3 4 20" xfId="2185"/>
    <cellStyle name="Accent3 4 21" xfId="2186"/>
    <cellStyle name="Accent3 4 3" xfId="2187"/>
    <cellStyle name="Accent3 4 4" xfId="2188"/>
    <cellStyle name="Accent3 4 5" xfId="2189"/>
    <cellStyle name="Accent3 4 6" xfId="2190"/>
    <cellStyle name="Accent3 4 7" xfId="2191"/>
    <cellStyle name="Accent3 4 8" xfId="2192"/>
    <cellStyle name="Accent3 4 9" xfId="2193"/>
    <cellStyle name="Accent3 5" xfId="2194"/>
    <cellStyle name="Accent3 6" xfId="2195"/>
    <cellStyle name="Accent3 7" xfId="2196"/>
    <cellStyle name="Accent3 8" xfId="2197"/>
    <cellStyle name="Accent3 9" xfId="2198"/>
    <cellStyle name="Accent4" xfId="141" builtinId="41" customBuiltin="1"/>
    <cellStyle name="Accent4 - 20%" xfId="2199"/>
    <cellStyle name="Accent4 - 40%" xfId="2200"/>
    <cellStyle name="Accent4 - 60%" xfId="2201"/>
    <cellStyle name="Accent4 10" xfId="2202"/>
    <cellStyle name="Accent4 11" xfId="2203"/>
    <cellStyle name="Accent4 12" xfId="2204"/>
    <cellStyle name="Accent4 13" xfId="2205"/>
    <cellStyle name="Accent4 14" xfId="2206"/>
    <cellStyle name="Accent4 2" xfId="24"/>
    <cellStyle name="Accent4 2 2" xfId="2207"/>
    <cellStyle name="Accent4 3" xfId="2208"/>
    <cellStyle name="Accent4 3 10" xfId="2209"/>
    <cellStyle name="Accent4 3 11" xfId="2210"/>
    <cellStyle name="Accent4 3 12" xfId="2211"/>
    <cellStyle name="Accent4 3 13" xfId="2212"/>
    <cellStyle name="Accent4 3 14" xfId="2213"/>
    <cellStyle name="Accent4 3 15" xfId="2214"/>
    <cellStyle name="Accent4 3 16" xfId="2215"/>
    <cellStyle name="Accent4 3 17" xfId="2216"/>
    <cellStyle name="Accent4 3 18" xfId="2217"/>
    <cellStyle name="Accent4 3 19" xfId="2218"/>
    <cellStyle name="Accent4 3 2" xfId="2219"/>
    <cellStyle name="Accent4 3 20" xfId="2220"/>
    <cellStyle name="Accent4 3 21" xfId="2221"/>
    <cellStyle name="Accent4 3 22" xfId="2222"/>
    <cellStyle name="Accent4 3 23" xfId="2223"/>
    <cellStyle name="Accent4 3 24" xfId="2224"/>
    <cellStyle name="Accent4 3 3" xfId="2225"/>
    <cellStyle name="Accent4 3 4" xfId="2226"/>
    <cellStyle name="Accent4 3 5" xfId="2227"/>
    <cellStyle name="Accent4 3 6" xfId="2228"/>
    <cellStyle name="Accent4 3 7" xfId="2229"/>
    <cellStyle name="Accent4 3 8" xfId="2230"/>
    <cellStyle name="Accent4 3 9" xfId="2231"/>
    <cellStyle name="Accent4 4" xfId="2232"/>
    <cellStyle name="Accent4 4 10" xfId="2233"/>
    <cellStyle name="Accent4 4 11" xfId="2234"/>
    <cellStyle name="Accent4 4 12" xfId="2235"/>
    <cellStyle name="Accent4 4 13" xfId="2236"/>
    <cellStyle name="Accent4 4 14" xfId="2237"/>
    <cellStyle name="Accent4 4 15" xfId="2238"/>
    <cellStyle name="Accent4 4 16" xfId="2239"/>
    <cellStyle name="Accent4 4 17" xfId="2240"/>
    <cellStyle name="Accent4 4 18" xfId="2241"/>
    <cellStyle name="Accent4 4 19" xfId="2242"/>
    <cellStyle name="Accent4 4 2" xfId="2243"/>
    <cellStyle name="Accent4 4 20" xfId="2244"/>
    <cellStyle name="Accent4 4 21" xfId="2245"/>
    <cellStyle name="Accent4 4 3" xfId="2246"/>
    <cellStyle name="Accent4 4 4" xfId="2247"/>
    <cellStyle name="Accent4 4 5" xfId="2248"/>
    <cellStyle name="Accent4 4 6" xfId="2249"/>
    <cellStyle name="Accent4 4 7" xfId="2250"/>
    <cellStyle name="Accent4 4 8" xfId="2251"/>
    <cellStyle name="Accent4 4 9" xfId="2252"/>
    <cellStyle name="Accent4 5" xfId="2253"/>
    <cellStyle name="Accent4 6" xfId="2254"/>
    <cellStyle name="Accent4 7" xfId="2255"/>
    <cellStyle name="Accent4 8" xfId="2256"/>
    <cellStyle name="Accent4 9" xfId="2257"/>
    <cellStyle name="Accent5" xfId="144" builtinId="45" customBuiltin="1"/>
    <cellStyle name="Accent5 - 20%" xfId="2258"/>
    <cellStyle name="Accent5 - 40%" xfId="2259"/>
    <cellStyle name="Accent5 - 60%" xfId="2260"/>
    <cellStyle name="Accent5 10" xfId="2261"/>
    <cellStyle name="Accent5 11" xfId="2262"/>
    <cellStyle name="Accent5 12" xfId="2263"/>
    <cellStyle name="Accent5 13" xfId="2264"/>
    <cellStyle name="Accent5 14" xfId="2265"/>
    <cellStyle name="Accent5 2" xfId="25"/>
    <cellStyle name="Accent5 2 2" xfId="2266"/>
    <cellStyle name="Accent5 3" xfId="2267"/>
    <cellStyle name="Accent5 3 10" xfId="2268"/>
    <cellStyle name="Accent5 3 11" xfId="2269"/>
    <cellStyle name="Accent5 3 12" xfId="2270"/>
    <cellStyle name="Accent5 3 13" xfId="2271"/>
    <cellStyle name="Accent5 3 14" xfId="2272"/>
    <cellStyle name="Accent5 3 15" xfId="2273"/>
    <cellStyle name="Accent5 3 16" xfId="2274"/>
    <cellStyle name="Accent5 3 17" xfId="2275"/>
    <cellStyle name="Accent5 3 18" xfId="2276"/>
    <cellStyle name="Accent5 3 19" xfId="2277"/>
    <cellStyle name="Accent5 3 2" xfId="2278"/>
    <cellStyle name="Accent5 3 20" xfId="2279"/>
    <cellStyle name="Accent5 3 21" xfId="2280"/>
    <cellStyle name="Accent5 3 22" xfId="2281"/>
    <cellStyle name="Accent5 3 23" xfId="2282"/>
    <cellStyle name="Accent5 3 24" xfId="2283"/>
    <cellStyle name="Accent5 3 3" xfId="2284"/>
    <cellStyle name="Accent5 3 4" xfId="2285"/>
    <cellStyle name="Accent5 3 5" xfId="2286"/>
    <cellStyle name="Accent5 3 6" xfId="2287"/>
    <cellStyle name="Accent5 3 7" xfId="2288"/>
    <cellStyle name="Accent5 3 8" xfId="2289"/>
    <cellStyle name="Accent5 3 9" xfId="2290"/>
    <cellStyle name="Accent5 4" xfId="2291"/>
    <cellStyle name="Accent5 4 10" xfId="2292"/>
    <cellStyle name="Accent5 4 11" xfId="2293"/>
    <cellStyle name="Accent5 4 12" xfId="2294"/>
    <cellStyle name="Accent5 4 13" xfId="2295"/>
    <cellStyle name="Accent5 4 14" xfId="2296"/>
    <cellStyle name="Accent5 4 15" xfId="2297"/>
    <cellStyle name="Accent5 4 16" xfId="2298"/>
    <cellStyle name="Accent5 4 17" xfId="2299"/>
    <cellStyle name="Accent5 4 18" xfId="2300"/>
    <cellStyle name="Accent5 4 19" xfId="2301"/>
    <cellStyle name="Accent5 4 2" xfId="2302"/>
    <cellStyle name="Accent5 4 20" xfId="2303"/>
    <cellStyle name="Accent5 4 21" xfId="2304"/>
    <cellStyle name="Accent5 4 3" xfId="2305"/>
    <cellStyle name="Accent5 4 4" xfId="2306"/>
    <cellStyle name="Accent5 4 5" xfId="2307"/>
    <cellStyle name="Accent5 4 6" xfId="2308"/>
    <cellStyle name="Accent5 4 7" xfId="2309"/>
    <cellStyle name="Accent5 4 8" xfId="2310"/>
    <cellStyle name="Accent5 4 9" xfId="2311"/>
    <cellStyle name="Accent5 5" xfId="2312"/>
    <cellStyle name="Accent5 6" xfId="2313"/>
    <cellStyle name="Accent5 7" xfId="2314"/>
    <cellStyle name="Accent5 8" xfId="2315"/>
    <cellStyle name="Accent5 9" xfId="2316"/>
    <cellStyle name="Accent6" xfId="147" builtinId="49" customBuiltin="1"/>
    <cellStyle name="Accent6 - 20%" xfId="2317"/>
    <cellStyle name="Accent6 - 40%" xfId="2318"/>
    <cellStyle name="Accent6 - 60%" xfId="2319"/>
    <cellStyle name="Accent6 10" xfId="2320"/>
    <cellStyle name="Accent6 11" xfId="2321"/>
    <cellStyle name="Accent6 12" xfId="2322"/>
    <cellStyle name="Accent6 13" xfId="2323"/>
    <cellStyle name="Accent6 14" xfId="2324"/>
    <cellStyle name="Accent6 2" xfId="26"/>
    <cellStyle name="Accent6 2 2" xfId="2325"/>
    <cellStyle name="Accent6 3" xfId="2326"/>
    <cellStyle name="Accent6 3 10" xfId="2327"/>
    <cellStyle name="Accent6 3 11" xfId="2328"/>
    <cellStyle name="Accent6 3 12" xfId="2329"/>
    <cellStyle name="Accent6 3 13" xfId="2330"/>
    <cellStyle name="Accent6 3 14" xfId="2331"/>
    <cellStyle name="Accent6 3 15" xfId="2332"/>
    <cellStyle name="Accent6 3 16" xfId="2333"/>
    <cellStyle name="Accent6 3 17" xfId="2334"/>
    <cellStyle name="Accent6 3 18" xfId="2335"/>
    <cellStyle name="Accent6 3 19" xfId="2336"/>
    <cellStyle name="Accent6 3 2" xfId="2337"/>
    <cellStyle name="Accent6 3 20" xfId="2338"/>
    <cellStyle name="Accent6 3 21" xfId="2339"/>
    <cellStyle name="Accent6 3 22" xfId="2340"/>
    <cellStyle name="Accent6 3 23" xfId="2341"/>
    <cellStyle name="Accent6 3 24" xfId="2342"/>
    <cellStyle name="Accent6 3 3" xfId="2343"/>
    <cellStyle name="Accent6 3 4" xfId="2344"/>
    <cellStyle name="Accent6 3 5" xfId="2345"/>
    <cellStyle name="Accent6 3 6" xfId="2346"/>
    <cellStyle name="Accent6 3 7" xfId="2347"/>
    <cellStyle name="Accent6 3 8" xfId="2348"/>
    <cellStyle name="Accent6 3 9" xfId="2349"/>
    <cellStyle name="Accent6 4" xfId="2350"/>
    <cellStyle name="Accent6 4 10" xfId="2351"/>
    <cellStyle name="Accent6 4 11" xfId="2352"/>
    <cellStyle name="Accent6 4 12" xfId="2353"/>
    <cellStyle name="Accent6 4 13" xfId="2354"/>
    <cellStyle name="Accent6 4 14" xfId="2355"/>
    <cellStyle name="Accent6 4 15" xfId="2356"/>
    <cellStyle name="Accent6 4 16" xfId="2357"/>
    <cellStyle name="Accent6 4 17" xfId="2358"/>
    <cellStyle name="Accent6 4 18" xfId="2359"/>
    <cellStyle name="Accent6 4 19" xfId="2360"/>
    <cellStyle name="Accent6 4 2" xfId="2361"/>
    <cellStyle name="Accent6 4 20" xfId="2362"/>
    <cellStyle name="Accent6 4 21" xfId="2363"/>
    <cellStyle name="Accent6 4 3" xfId="2364"/>
    <cellStyle name="Accent6 4 4" xfId="2365"/>
    <cellStyle name="Accent6 4 5" xfId="2366"/>
    <cellStyle name="Accent6 4 6" xfId="2367"/>
    <cellStyle name="Accent6 4 7" xfId="2368"/>
    <cellStyle name="Accent6 4 8" xfId="2369"/>
    <cellStyle name="Accent6 4 9" xfId="2370"/>
    <cellStyle name="Accent6 5" xfId="2371"/>
    <cellStyle name="Accent6 6" xfId="2372"/>
    <cellStyle name="Accent6 7" xfId="2373"/>
    <cellStyle name="Accent6 8" xfId="2374"/>
    <cellStyle name="Accent6 9" xfId="2375"/>
    <cellStyle name="Akzent1" xfId="2376"/>
    <cellStyle name="Akzent1 2" xfId="2377"/>
    <cellStyle name="Akzent2" xfId="2378"/>
    <cellStyle name="Akzent2 2" xfId="2379"/>
    <cellStyle name="Akzent3" xfId="2380"/>
    <cellStyle name="Akzent3 2" xfId="2381"/>
    <cellStyle name="Akzent4" xfId="2382"/>
    <cellStyle name="Akzent4 2" xfId="2383"/>
    <cellStyle name="Akzent5" xfId="2384"/>
    <cellStyle name="Akzent5 2" xfId="2385"/>
    <cellStyle name="Akzent6" xfId="2386"/>
    <cellStyle name="Akzent6 2" xfId="2387"/>
    <cellStyle name="Ausgabe" xfId="2388"/>
    <cellStyle name="Ausgabe 2" xfId="2389"/>
    <cellStyle name="Avertissement" xfId="2390"/>
    <cellStyle name="Bad" xfId="127" builtinId="27" customBuiltin="1"/>
    <cellStyle name="Bad 10" xfId="2391"/>
    <cellStyle name="Bad 11" xfId="2392"/>
    <cellStyle name="Bad 12" xfId="2393"/>
    <cellStyle name="Bad 13" xfId="2394"/>
    <cellStyle name="Bad 14" xfId="2395"/>
    <cellStyle name="Bad 2" xfId="27"/>
    <cellStyle name="Bad 2 2" xfId="2396"/>
    <cellStyle name="Bad 3" xfId="2397"/>
    <cellStyle name="Bad 3 10" xfId="2398"/>
    <cellStyle name="Bad 3 11" xfId="2399"/>
    <cellStyle name="Bad 3 12" xfId="2400"/>
    <cellStyle name="Bad 3 13" xfId="2401"/>
    <cellStyle name="Bad 3 14" xfId="2402"/>
    <cellStyle name="Bad 3 15" xfId="2403"/>
    <cellStyle name="Bad 3 16" xfId="2404"/>
    <cellStyle name="Bad 3 17" xfId="2405"/>
    <cellStyle name="Bad 3 18" xfId="2406"/>
    <cellStyle name="Bad 3 19" xfId="2407"/>
    <cellStyle name="Bad 3 2" xfId="2408"/>
    <cellStyle name="Bad 3 20" xfId="2409"/>
    <cellStyle name="Bad 3 21" xfId="2410"/>
    <cellStyle name="Bad 3 22" xfId="2411"/>
    <cellStyle name="Bad 3 23" xfId="2412"/>
    <cellStyle name="Bad 3 24" xfId="2413"/>
    <cellStyle name="Bad 3 3" xfId="2414"/>
    <cellStyle name="Bad 3 4" xfId="2415"/>
    <cellStyle name="Bad 3 5" xfId="2416"/>
    <cellStyle name="Bad 3 6" xfId="2417"/>
    <cellStyle name="Bad 3 7" xfId="2418"/>
    <cellStyle name="Bad 3 8" xfId="2419"/>
    <cellStyle name="Bad 3 9" xfId="2420"/>
    <cellStyle name="Bad 4" xfId="2421"/>
    <cellStyle name="Bad 4 10" xfId="2422"/>
    <cellStyle name="Bad 4 11" xfId="2423"/>
    <cellStyle name="Bad 4 12" xfId="2424"/>
    <cellStyle name="Bad 4 13" xfId="2425"/>
    <cellStyle name="Bad 4 14" xfId="2426"/>
    <cellStyle name="Bad 4 15" xfId="2427"/>
    <cellStyle name="Bad 4 16" xfId="2428"/>
    <cellStyle name="Bad 4 17" xfId="2429"/>
    <cellStyle name="Bad 4 18" xfId="2430"/>
    <cellStyle name="Bad 4 19" xfId="2431"/>
    <cellStyle name="Bad 4 2" xfId="2432"/>
    <cellStyle name="Bad 4 20" xfId="2433"/>
    <cellStyle name="Bad 4 21" xfId="2434"/>
    <cellStyle name="Bad 4 3" xfId="2435"/>
    <cellStyle name="Bad 4 4" xfId="2436"/>
    <cellStyle name="Bad 4 5" xfId="2437"/>
    <cellStyle name="Bad 4 6" xfId="2438"/>
    <cellStyle name="Bad 4 7" xfId="2439"/>
    <cellStyle name="Bad 4 8" xfId="2440"/>
    <cellStyle name="Bad 4 9" xfId="2441"/>
    <cellStyle name="Bad 5" xfId="2442"/>
    <cellStyle name="Bad 6" xfId="2443"/>
    <cellStyle name="Bad 7" xfId="2444"/>
    <cellStyle name="Bad 8" xfId="2445"/>
    <cellStyle name="Bad 9" xfId="2446"/>
    <cellStyle name="Berechnung" xfId="2447"/>
    <cellStyle name="Berechnung 2" xfId="2448"/>
    <cellStyle name="Besuchter Hyperlink" xfId="2449"/>
    <cellStyle name="Bilješka 10" xfId="2450"/>
    <cellStyle name="Bilješka 2" xfId="2451"/>
    <cellStyle name="Bilješka 2 2" xfId="2452"/>
    <cellStyle name="Bilješka 2 3" xfId="2453"/>
    <cellStyle name="Bilješka 3" xfId="2454"/>
    <cellStyle name="Bilješka 4" xfId="2455"/>
    <cellStyle name="Bilješka 5" xfId="2456"/>
    <cellStyle name="Bilješka 6" xfId="2457"/>
    <cellStyle name="Bilješka 6 2" xfId="2458"/>
    <cellStyle name="Bilješka 7" xfId="2459"/>
    <cellStyle name="Bilješka 8" xfId="2460"/>
    <cellStyle name="Bilješka 8 2" xfId="2461"/>
    <cellStyle name="Bilješka 9" xfId="2462"/>
    <cellStyle name="Bilješka 9 2" xfId="2463"/>
    <cellStyle name="Border" xfId="2464"/>
    <cellStyle name="Calc Currency (0)" xfId="2465"/>
    <cellStyle name="Calc Currency (2)" xfId="2466"/>
    <cellStyle name="Calc Percent (0)" xfId="2467"/>
    <cellStyle name="Calc Percent (1)" xfId="2468"/>
    <cellStyle name="Calc Percent (2)" xfId="2469"/>
    <cellStyle name="Calc Units (0)" xfId="2470"/>
    <cellStyle name="Calc Units (1)" xfId="2471"/>
    <cellStyle name="Calc Units (2)" xfId="2472"/>
    <cellStyle name="Calcul" xfId="2473"/>
    <cellStyle name="Calculation" xfId="129" builtinId="22" customBuiltin="1"/>
    <cellStyle name="Calculation 10" xfId="2474"/>
    <cellStyle name="Calculation 11" xfId="2475"/>
    <cellStyle name="Calculation 12" xfId="2476"/>
    <cellStyle name="Calculation 13" xfId="2477"/>
    <cellStyle name="Calculation 14" xfId="2478"/>
    <cellStyle name="Calculation 2" xfId="28"/>
    <cellStyle name="Calculation 2 2" xfId="2479"/>
    <cellStyle name="Calculation 3" xfId="2480"/>
    <cellStyle name="Calculation 3 10" xfId="2481"/>
    <cellStyle name="Calculation 3 11" xfId="2482"/>
    <cellStyle name="Calculation 3 12" xfId="2483"/>
    <cellStyle name="Calculation 3 13" xfId="2484"/>
    <cellStyle name="Calculation 3 14" xfId="2485"/>
    <cellStyle name="Calculation 3 15" xfId="2486"/>
    <cellStyle name="Calculation 3 16" xfId="2487"/>
    <cellStyle name="Calculation 3 17" xfId="2488"/>
    <cellStyle name="Calculation 3 18" xfId="2489"/>
    <cellStyle name="Calculation 3 19" xfId="2490"/>
    <cellStyle name="Calculation 3 2" xfId="2491"/>
    <cellStyle name="Calculation 3 20" xfId="2492"/>
    <cellStyle name="Calculation 3 21" xfId="2493"/>
    <cellStyle name="Calculation 3 22" xfId="2494"/>
    <cellStyle name="Calculation 3 23" xfId="2495"/>
    <cellStyle name="Calculation 3 24" xfId="2496"/>
    <cellStyle name="Calculation 3 3" xfId="2497"/>
    <cellStyle name="Calculation 3 4" xfId="2498"/>
    <cellStyle name="Calculation 3 5" xfId="2499"/>
    <cellStyle name="Calculation 3 6" xfId="2500"/>
    <cellStyle name="Calculation 3 7" xfId="2501"/>
    <cellStyle name="Calculation 3 8" xfId="2502"/>
    <cellStyle name="Calculation 3 9" xfId="2503"/>
    <cellStyle name="Calculation 4" xfId="2504"/>
    <cellStyle name="Calculation 4 10" xfId="2505"/>
    <cellStyle name="Calculation 4 11" xfId="2506"/>
    <cellStyle name="Calculation 4 12" xfId="2507"/>
    <cellStyle name="Calculation 4 13" xfId="2508"/>
    <cellStyle name="Calculation 4 14" xfId="2509"/>
    <cellStyle name="Calculation 4 15" xfId="2510"/>
    <cellStyle name="Calculation 4 16" xfId="2511"/>
    <cellStyle name="Calculation 4 17" xfId="2512"/>
    <cellStyle name="Calculation 4 18" xfId="2513"/>
    <cellStyle name="Calculation 4 19" xfId="2514"/>
    <cellStyle name="Calculation 4 2" xfId="2515"/>
    <cellStyle name="Calculation 4 20" xfId="2516"/>
    <cellStyle name="Calculation 4 21" xfId="2517"/>
    <cellStyle name="Calculation 4 3" xfId="2518"/>
    <cellStyle name="Calculation 4 4" xfId="2519"/>
    <cellStyle name="Calculation 4 5" xfId="2520"/>
    <cellStyle name="Calculation 4 6" xfId="2521"/>
    <cellStyle name="Calculation 4 7" xfId="2522"/>
    <cellStyle name="Calculation 4 8" xfId="2523"/>
    <cellStyle name="Calculation 4 9" xfId="2524"/>
    <cellStyle name="Calculation 5" xfId="2525"/>
    <cellStyle name="Calculation 6" xfId="2526"/>
    <cellStyle name="Calculation 7" xfId="2527"/>
    <cellStyle name="Calculation 8" xfId="2528"/>
    <cellStyle name="Calculation 9" xfId="2529"/>
    <cellStyle name="Cellule liée" xfId="2530"/>
    <cellStyle name="Check Cell" xfId="131" builtinId="23" customBuiltin="1"/>
    <cellStyle name="Check Cell 10" xfId="2531"/>
    <cellStyle name="Check Cell 11" xfId="2532"/>
    <cellStyle name="Check Cell 12" xfId="2533"/>
    <cellStyle name="Check Cell 13" xfId="2534"/>
    <cellStyle name="Check Cell 14" xfId="2535"/>
    <cellStyle name="Check Cell 2" xfId="29"/>
    <cellStyle name="Check Cell 2 2" xfId="2536"/>
    <cellStyle name="Check Cell 3" xfId="2537"/>
    <cellStyle name="Check Cell 3 10" xfId="2538"/>
    <cellStyle name="Check Cell 3 11" xfId="2539"/>
    <cellStyle name="Check Cell 3 12" xfId="2540"/>
    <cellStyle name="Check Cell 3 13" xfId="2541"/>
    <cellStyle name="Check Cell 3 14" xfId="2542"/>
    <cellStyle name="Check Cell 3 15" xfId="2543"/>
    <cellStyle name="Check Cell 3 16" xfId="2544"/>
    <cellStyle name="Check Cell 3 17" xfId="2545"/>
    <cellStyle name="Check Cell 3 18" xfId="2546"/>
    <cellStyle name="Check Cell 3 19" xfId="2547"/>
    <cellStyle name="Check Cell 3 2" xfId="2548"/>
    <cellStyle name="Check Cell 3 20" xfId="2549"/>
    <cellStyle name="Check Cell 3 21" xfId="2550"/>
    <cellStyle name="Check Cell 3 22" xfId="2551"/>
    <cellStyle name="Check Cell 3 23" xfId="2552"/>
    <cellStyle name="Check Cell 3 24" xfId="2553"/>
    <cellStyle name="Check Cell 3 3" xfId="2554"/>
    <cellStyle name="Check Cell 3 4" xfId="2555"/>
    <cellStyle name="Check Cell 3 5" xfId="2556"/>
    <cellStyle name="Check Cell 3 6" xfId="2557"/>
    <cellStyle name="Check Cell 3 7" xfId="2558"/>
    <cellStyle name="Check Cell 3 8" xfId="2559"/>
    <cellStyle name="Check Cell 3 9" xfId="2560"/>
    <cellStyle name="Check Cell 4" xfId="2561"/>
    <cellStyle name="Check Cell 4 10" xfId="2562"/>
    <cellStyle name="Check Cell 4 11" xfId="2563"/>
    <cellStyle name="Check Cell 4 12" xfId="2564"/>
    <cellStyle name="Check Cell 4 13" xfId="2565"/>
    <cellStyle name="Check Cell 4 14" xfId="2566"/>
    <cellStyle name="Check Cell 4 15" xfId="2567"/>
    <cellStyle name="Check Cell 4 16" xfId="2568"/>
    <cellStyle name="Check Cell 4 17" xfId="2569"/>
    <cellStyle name="Check Cell 4 18" xfId="2570"/>
    <cellStyle name="Check Cell 4 19" xfId="2571"/>
    <cellStyle name="Check Cell 4 2" xfId="2572"/>
    <cellStyle name="Check Cell 4 20" xfId="2573"/>
    <cellStyle name="Check Cell 4 21" xfId="2574"/>
    <cellStyle name="Check Cell 4 3" xfId="2575"/>
    <cellStyle name="Check Cell 4 4" xfId="2576"/>
    <cellStyle name="Check Cell 4 5" xfId="2577"/>
    <cellStyle name="Check Cell 4 6" xfId="2578"/>
    <cellStyle name="Check Cell 4 7" xfId="2579"/>
    <cellStyle name="Check Cell 4 8" xfId="2580"/>
    <cellStyle name="Check Cell 4 9" xfId="2581"/>
    <cellStyle name="Check Cell 5" xfId="2582"/>
    <cellStyle name="Check Cell 6" xfId="2583"/>
    <cellStyle name="Check Cell 7" xfId="2584"/>
    <cellStyle name="Check Cell 8" xfId="2585"/>
    <cellStyle name="Check Cell 9" xfId="2586"/>
    <cellStyle name="ColStyle1" xfId="2587"/>
    <cellStyle name="ColStyle2" xfId="2588"/>
    <cellStyle name="ColStyle3" xfId="2589"/>
    <cellStyle name="ColStyle4" xfId="2590"/>
    <cellStyle name="ColStyle5" xfId="2591"/>
    <cellStyle name="Comma" xfId="62" builtinId="3"/>
    <cellStyle name="Comma [0] 2" xfId="2592"/>
    <cellStyle name="Comma [00]" xfId="2593"/>
    <cellStyle name="Comma 10" xfId="2594"/>
    <cellStyle name="Comma 10 2" xfId="2595"/>
    <cellStyle name="Comma 11" xfId="390"/>
    <cellStyle name="Comma 11 2" xfId="2596"/>
    <cellStyle name="Comma 12" xfId="2597"/>
    <cellStyle name="Comma 12 2" xfId="2598"/>
    <cellStyle name="Comma 13" xfId="2599"/>
    <cellStyle name="Comma 13 2" xfId="2600"/>
    <cellStyle name="Comma 14" xfId="2601"/>
    <cellStyle name="Comma 14 2" xfId="2602"/>
    <cellStyle name="Comma 15" xfId="2603"/>
    <cellStyle name="Comma 15 2" xfId="2604"/>
    <cellStyle name="Comma 16" xfId="2605"/>
    <cellStyle name="Comma 16 2" xfId="2606"/>
    <cellStyle name="Comma 17" xfId="2607"/>
    <cellStyle name="Comma 17 2" xfId="2608"/>
    <cellStyle name="Comma 18" xfId="2609"/>
    <cellStyle name="Comma 18 2" xfId="2610"/>
    <cellStyle name="Comma 19" xfId="2611"/>
    <cellStyle name="Comma 19 2" xfId="2612"/>
    <cellStyle name="Comma 2" xfId="43"/>
    <cellStyle name="Comma 2 2" xfId="150"/>
    <cellStyle name="Comma 2 2 2" xfId="255"/>
    <cellStyle name="Comma 2 2 2 2" xfId="2615"/>
    <cellStyle name="Comma 2 2 3" xfId="350"/>
    <cellStyle name="Comma 2 2 3 2" xfId="2616"/>
    <cellStyle name="Comma 2 2 4" xfId="2614"/>
    <cellStyle name="Comma 2 3" xfId="351"/>
    <cellStyle name="Comma 2 3 2" xfId="2618"/>
    <cellStyle name="Comma 2 3 3" xfId="2617"/>
    <cellStyle name="Comma 2 4" xfId="349"/>
    <cellStyle name="Comma 2 4 2" xfId="2619"/>
    <cellStyle name="Comma 2 5" xfId="2620"/>
    <cellStyle name="Comma 2 6" xfId="2613"/>
    <cellStyle name="Comma 2_4_9 - 05912-HSM_EL" xfId="2621"/>
    <cellStyle name="Comma 20" xfId="2622"/>
    <cellStyle name="Comma 20 2" xfId="2623"/>
    <cellStyle name="Comma 21" xfId="2624"/>
    <cellStyle name="Comma 21 2" xfId="2625"/>
    <cellStyle name="Comma 22" xfId="2626"/>
    <cellStyle name="Comma 22 2" xfId="2627"/>
    <cellStyle name="Comma 23" xfId="2628"/>
    <cellStyle name="Comma 23 2" xfId="2629"/>
    <cellStyle name="Comma 24" xfId="2630"/>
    <cellStyle name="Comma 24 2" xfId="2631"/>
    <cellStyle name="Comma 25" xfId="2632"/>
    <cellStyle name="Comma 25 2" xfId="2633"/>
    <cellStyle name="Comma 25 3" xfId="2634"/>
    <cellStyle name="Comma 26" xfId="2635"/>
    <cellStyle name="Comma 26 2" xfId="2636"/>
    <cellStyle name="Comma 26 3" xfId="2637"/>
    <cellStyle name="Comma 27" xfId="2638"/>
    <cellStyle name="Comma 27 2" xfId="2639"/>
    <cellStyle name="Comma 27 3" xfId="2640"/>
    <cellStyle name="Comma 28" xfId="2641"/>
    <cellStyle name="Comma 29" xfId="2642"/>
    <cellStyle name="Comma 29 2" xfId="2643"/>
    <cellStyle name="Comma 3" xfId="101"/>
    <cellStyle name="Comma 3 2" xfId="2645"/>
    <cellStyle name="Comma 3 2 2" xfId="2646"/>
    <cellStyle name="Comma 3 2 2 2" xfId="2647"/>
    <cellStyle name="Comma 3 2 3" xfId="2648"/>
    <cellStyle name="Comma 3 3" xfId="2649"/>
    <cellStyle name="Comma 3 4" xfId="2650"/>
    <cellStyle name="Comma 3 5" xfId="2644"/>
    <cellStyle name="Comma 3 6" xfId="4874"/>
    <cellStyle name="Comma 3 7" xfId="348"/>
    <cellStyle name="Comma 3_elektroinstalacije" xfId="2651"/>
    <cellStyle name="Comma 30" xfId="2652"/>
    <cellStyle name="Comma 31" xfId="2653"/>
    <cellStyle name="Comma 31 2" xfId="2654"/>
    <cellStyle name="Comma 32" xfId="2655"/>
    <cellStyle name="Comma 33" xfId="2656"/>
    <cellStyle name="Comma 33 2" xfId="2657"/>
    <cellStyle name="Comma 34" xfId="2658"/>
    <cellStyle name="Comma 34 2" xfId="2659"/>
    <cellStyle name="Comma 35" xfId="2660"/>
    <cellStyle name="Comma 36" xfId="2661"/>
    <cellStyle name="Comma 37" xfId="2662"/>
    <cellStyle name="Comma 38" xfId="2663"/>
    <cellStyle name="Comma 39" xfId="2664"/>
    <cellStyle name="Comma 4" xfId="2665"/>
    <cellStyle name="Comma 4 2" xfId="2666"/>
    <cellStyle name="Comma 4 2 2" xfId="2667"/>
    <cellStyle name="Comma 4 2 2 2" xfId="352"/>
    <cellStyle name="Comma 4 3" xfId="2668"/>
    <cellStyle name="Comma 4 4" xfId="2669"/>
    <cellStyle name="Comma 4_elektroinstalacije" xfId="2670"/>
    <cellStyle name="Comma 40" xfId="2671"/>
    <cellStyle name="Comma 41" xfId="2672"/>
    <cellStyle name="Comma 42" xfId="2673"/>
    <cellStyle name="Comma 43" xfId="2674"/>
    <cellStyle name="Comma 44" xfId="2675"/>
    <cellStyle name="Comma 45" xfId="2676"/>
    <cellStyle name="Comma 46" xfId="2677"/>
    <cellStyle name="Comma 47" xfId="2678"/>
    <cellStyle name="Comma 48" xfId="2679"/>
    <cellStyle name="Comma 49" xfId="2680"/>
    <cellStyle name="Comma 5" xfId="2681"/>
    <cellStyle name="Comma 5 2" xfId="2682"/>
    <cellStyle name="Comma 5 2 2" xfId="2683"/>
    <cellStyle name="Comma 5 3" xfId="2684"/>
    <cellStyle name="Comma 50" xfId="4876"/>
    <cellStyle name="Comma 51" xfId="236"/>
    <cellStyle name="Comma 6" xfId="353"/>
    <cellStyle name="Comma 6 2" xfId="2686"/>
    <cellStyle name="Comma 6 3" xfId="2687"/>
    <cellStyle name="Comma 6 4" xfId="2688"/>
    <cellStyle name="Comma 6 4 2" xfId="2689"/>
    <cellStyle name="Comma 6 5" xfId="2690"/>
    <cellStyle name="Comma 6 6" xfId="2685"/>
    <cellStyle name="Comma 7" xfId="2691"/>
    <cellStyle name="Comma 7 2" xfId="2692"/>
    <cellStyle name="Comma 7 3" xfId="2693"/>
    <cellStyle name="Comma 8" xfId="2694"/>
    <cellStyle name="Comma 8 2" xfId="2695"/>
    <cellStyle name="Comma 9" xfId="2696"/>
    <cellStyle name="Comma 9 2" xfId="2697"/>
    <cellStyle name="Comma 9 3" xfId="2698"/>
    <cellStyle name="Comma0" xfId="2699"/>
    <cellStyle name="Commentaire" xfId="2700"/>
    <cellStyle name="Currency" xfId="91" builtinId="4"/>
    <cellStyle name="Currency [00]" xfId="2701"/>
    <cellStyle name="Currency 10" xfId="2702"/>
    <cellStyle name="Currency 10 2" xfId="2703"/>
    <cellStyle name="Currency 10 2 2" xfId="2704"/>
    <cellStyle name="Currency 10 3" xfId="2705"/>
    <cellStyle name="Currency 11" xfId="2706"/>
    <cellStyle name="Currency 11 2" xfId="2707"/>
    <cellStyle name="Currency 11 2 2" xfId="2708"/>
    <cellStyle name="Currency 11 3" xfId="2709"/>
    <cellStyle name="Currency 12" xfId="2710"/>
    <cellStyle name="Currency 12 2" xfId="2711"/>
    <cellStyle name="Currency 12 2 2" xfId="2712"/>
    <cellStyle name="Currency 12 3" xfId="2713"/>
    <cellStyle name="Currency 13" xfId="2714"/>
    <cellStyle name="Currency 13 2" xfId="2715"/>
    <cellStyle name="Currency 13 2 2" xfId="2716"/>
    <cellStyle name="Currency 13 3" xfId="2717"/>
    <cellStyle name="Currency 14" xfId="2718"/>
    <cellStyle name="Currency 14 2" xfId="2719"/>
    <cellStyle name="Currency 14 2 2" xfId="2720"/>
    <cellStyle name="Currency 14 3" xfId="2721"/>
    <cellStyle name="Currency 15" xfId="2722"/>
    <cellStyle name="Currency 15 2" xfId="2723"/>
    <cellStyle name="Currency 15 2 2" xfId="2724"/>
    <cellStyle name="Currency 15 3" xfId="2725"/>
    <cellStyle name="Currency 16" xfId="2726"/>
    <cellStyle name="Currency 16 2" xfId="2727"/>
    <cellStyle name="Currency 16 2 2" xfId="2728"/>
    <cellStyle name="Currency 16 3" xfId="2729"/>
    <cellStyle name="Currency 17" xfId="2730"/>
    <cellStyle name="Currency 17 2" xfId="2731"/>
    <cellStyle name="Currency 17 2 2" xfId="2732"/>
    <cellStyle name="Currency 17 3" xfId="2733"/>
    <cellStyle name="Currency 18" xfId="2734"/>
    <cellStyle name="Currency 19" xfId="151"/>
    <cellStyle name="Currency 2" xfId="406"/>
    <cellStyle name="Currency 2 2" xfId="2736"/>
    <cellStyle name="Currency 2 2 2" xfId="2737"/>
    <cellStyle name="Currency 2 2 2 2" xfId="354"/>
    <cellStyle name="Currency 2 3" xfId="2738"/>
    <cellStyle name="Currency 2 3 2" xfId="2739"/>
    <cellStyle name="Currency 2 3 3" xfId="2740"/>
    <cellStyle name="Currency 2 4" xfId="2741"/>
    <cellStyle name="Currency 2 5" xfId="2735"/>
    <cellStyle name="Currency 3" xfId="355"/>
    <cellStyle name="Currency 3 2" xfId="2743"/>
    <cellStyle name="Currency 3 2 2" xfId="2744"/>
    <cellStyle name="Currency 3 3" xfId="2745"/>
    <cellStyle name="Currency 3 3 2" xfId="2746"/>
    <cellStyle name="Currency 3 4" xfId="2742"/>
    <cellStyle name="Currency 4" xfId="2747"/>
    <cellStyle name="Currency 4 2" xfId="2748"/>
    <cellStyle name="Currency 4 2 2" xfId="2749"/>
    <cellStyle name="Currency 4 2 2 2" xfId="2750"/>
    <cellStyle name="Currency 4 2 3" xfId="2751"/>
    <cellStyle name="Currency 4 2 3 2" xfId="2752"/>
    <cellStyle name="Currency 4 2 4" xfId="2753"/>
    <cellStyle name="Currency 4 2 4 2" xfId="2754"/>
    <cellStyle name="Currency 4 2 5" xfId="2755"/>
    <cellStyle name="Currency 4 3" xfId="2756"/>
    <cellStyle name="Currency 5" xfId="2757"/>
    <cellStyle name="Currency 5 2" xfId="2758"/>
    <cellStyle name="Currency 5 2 2" xfId="2759"/>
    <cellStyle name="Currency 5 3" xfId="2760"/>
    <cellStyle name="Currency 5 3 2" xfId="2761"/>
    <cellStyle name="Currency 5 4" xfId="2762"/>
    <cellStyle name="Currency 5 4 2" xfId="2763"/>
    <cellStyle name="Currency 5 5" xfId="2764"/>
    <cellStyle name="Currency 6" xfId="2765"/>
    <cellStyle name="Currency 6 2" xfId="2766"/>
    <cellStyle name="Currency 6 2 2" xfId="2767"/>
    <cellStyle name="Currency 6 3" xfId="2768"/>
    <cellStyle name="Currency 7" xfId="2769"/>
    <cellStyle name="Currency 7 2" xfId="2770"/>
    <cellStyle name="Currency 7 2 2" xfId="2771"/>
    <cellStyle name="Currency 7 3" xfId="2772"/>
    <cellStyle name="Currency 8" xfId="2773"/>
    <cellStyle name="Currency 8 2" xfId="2774"/>
    <cellStyle name="Currency 8 2 2" xfId="2775"/>
    <cellStyle name="Currency 8 3" xfId="2776"/>
    <cellStyle name="Currency 9" xfId="2777"/>
    <cellStyle name="Currency 9 2" xfId="2778"/>
    <cellStyle name="Currency 9 2 2" xfId="2779"/>
    <cellStyle name="Currency 9 3" xfId="2780"/>
    <cellStyle name="Currency0" xfId="2781"/>
    <cellStyle name="Date Short" xfId="2782"/>
    <cellStyle name="Default_Uvuceni" xfId="356"/>
    <cellStyle name="Dezimal [0]_Fagr" xfId="2783"/>
    <cellStyle name="Dezimal_Fagr" xfId="2784"/>
    <cellStyle name="Dobro 2" xfId="2785"/>
    <cellStyle name="Dobro 3" xfId="2786"/>
    <cellStyle name="Dobro 3 2" xfId="2787"/>
    <cellStyle name="Eingabe" xfId="2788"/>
    <cellStyle name="Eingabe 2" xfId="2789"/>
    <cellStyle name="Emphasis 1" xfId="2790"/>
    <cellStyle name="Emphasis 2" xfId="2791"/>
    <cellStyle name="Emphasis 3" xfId="2792"/>
    <cellStyle name="Enter Currency (0)" xfId="2793"/>
    <cellStyle name="Enter Currency (2)" xfId="2794"/>
    <cellStyle name="Enter Units (0)" xfId="2795"/>
    <cellStyle name="Enter Units (1)" xfId="2796"/>
    <cellStyle name="Enter Units (2)" xfId="2797"/>
    <cellStyle name="Entrée" xfId="2798"/>
    <cellStyle name="Ergebnis" xfId="2799"/>
    <cellStyle name="Erklärender Text" xfId="2800"/>
    <cellStyle name="Euro" xfId="2801"/>
    <cellStyle name="Euro 10" xfId="2802"/>
    <cellStyle name="Euro 10 2" xfId="2803"/>
    <cellStyle name="Euro 10 3" xfId="2804"/>
    <cellStyle name="Euro 11" xfId="2805"/>
    <cellStyle name="Euro 11 2" xfId="2806"/>
    <cellStyle name="Euro 11 3" xfId="2807"/>
    <cellStyle name="Euro 12" xfId="2808"/>
    <cellStyle name="Euro 12 2" xfId="2809"/>
    <cellStyle name="Euro 12 3" xfId="2810"/>
    <cellStyle name="Euro 13" xfId="2811"/>
    <cellStyle name="Euro 13 2" xfId="2812"/>
    <cellStyle name="Euro 13 3" xfId="2813"/>
    <cellStyle name="Euro 14" xfId="2814"/>
    <cellStyle name="Euro 15" xfId="2815"/>
    <cellStyle name="Euro 16" xfId="2816"/>
    <cellStyle name="Euro 2" xfId="2817"/>
    <cellStyle name="Euro 2 2" xfId="2818"/>
    <cellStyle name="Euro 2 3" xfId="2819"/>
    <cellStyle name="Euro 3" xfId="2820"/>
    <cellStyle name="Euro 3 2" xfId="2821"/>
    <cellStyle name="Euro 3 3" xfId="2822"/>
    <cellStyle name="Euro 4" xfId="2823"/>
    <cellStyle name="Euro 4 2" xfId="2824"/>
    <cellStyle name="Euro 4 3" xfId="2825"/>
    <cellStyle name="Euro 5" xfId="2826"/>
    <cellStyle name="Euro 5 2" xfId="2827"/>
    <cellStyle name="Euro 5 3" xfId="2828"/>
    <cellStyle name="Euro 6" xfId="2829"/>
    <cellStyle name="Euro 6 2" xfId="2830"/>
    <cellStyle name="Euro 6 3" xfId="2831"/>
    <cellStyle name="Euro 7" xfId="2832"/>
    <cellStyle name="Euro 7 2" xfId="2833"/>
    <cellStyle name="Euro 7 3" xfId="2834"/>
    <cellStyle name="Euro 8" xfId="2835"/>
    <cellStyle name="Euro 8 2" xfId="2836"/>
    <cellStyle name="Euro 8 3" xfId="2837"/>
    <cellStyle name="Euro 9" xfId="2838"/>
    <cellStyle name="Euro 9 2" xfId="2839"/>
    <cellStyle name="Euro 9 3" xfId="2840"/>
    <cellStyle name="Euro_ELEKTRO" xfId="2841"/>
    <cellStyle name="Excel Built-in Default_Uvuceni" xfId="379"/>
    <cellStyle name="Excel Built-in Normal" xfId="357"/>
    <cellStyle name="Excel Built-in Normal 2" xfId="2842"/>
    <cellStyle name="Excel Built-in Normal 3" xfId="4866"/>
    <cellStyle name="Explanatory Text" xfId="132" builtinId="53" customBuiltin="1"/>
    <cellStyle name="Explanatory Text 10" xfId="2843"/>
    <cellStyle name="Explanatory Text 11" xfId="2844"/>
    <cellStyle name="Explanatory Text 12" xfId="2845"/>
    <cellStyle name="Explanatory Text 13" xfId="2846"/>
    <cellStyle name="Explanatory Text 14" xfId="2847"/>
    <cellStyle name="Explanatory Text 2" xfId="30"/>
    <cellStyle name="Explanatory Text 2 2" xfId="2848"/>
    <cellStyle name="Explanatory Text 3" xfId="2849"/>
    <cellStyle name="Explanatory Text 3 10" xfId="2850"/>
    <cellStyle name="Explanatory Text 3 11" xfId="2851"/>
    <cellStyle name="Explanatory Text 3 12" xfId="2852"/>
    <cellStyle name="Explanatory Text 3 13" xfId="2853"/>
    <cellStyle name="Explanatory Text 3 14" xfId="2854"/>
    <cellStyle name="Explanatory Text 3 15" xfId="2855"/>
    <cellStyle name="Explanatory Text 3 16" xfId="2856"/>
    <cellStyle name="Explanatory Text 3 17" xfId="2857"/>
    <cellStyle name="Explanatory Text 3 18" xfId="2858"/>
    <cellStyle name="Explanatory Text 3 19" xfId="2859"/>
    <cellStyle name="Explanatory Text 3 2" xfId="2860"/>
    <cellStyle name="Explanatory Text 3 20" xfId="2861"/>
    <cellStyle name="Explanatory Text 3 21" xfId="2862"/>
    <cellStyle name="Explanatory Text 3 22" xfId="2863"/>
    <cellStyle name="Explanatory Text 3 23" xfId="2864"/>
    <cellStyle name="Explanatory Text 3 24" xfId="2865"/>
    <cellStyle name="Explanatory Text 3 3" xfId="2866"/>
    <cellStyle name="Explanatory Text 3 4" xfId="2867"/>
    <cellStyle name="Explanatory Text 3 5" xfId="2868"/>
    <cellStyle name="Explanatory Text 3 6" xfId="2869"/>
    <cellStyle name="Explanatory Text 3 7" xfId="2870"/>
    <cellStyle name="Explanatory Text 3 8" xfId="2871"/>
    <cellStyle name="Explanatory Text 3 9" xfId="2872"/>
    <cellStyle name="Explanatory Text 4" xfId="2873"/>
    <cellStyle name="Explanatory Text 4 10" xfId="2874"/>
    <cellStyle name="Explanatory Text 4 11" xfId="2875"/>
    <cellStyle name="Explanatory Text 4 12" xfId="2876"/>
    <cellStyle name="Explanatory Text 4 13" xfId="2877"/>
    <cellStyle name="Explanatory Text 4 14" xfId="2878"/>
    <cellStyle name="Explanatory Text 4 15" xfId="2879"/>
    <cellStyle name="Explanatory Text 4 16" xfId="2880"/>
    <cellStyle name="Explanatory Text 4 17" xfId="2881"/>
    <cellStyle name="Explanatory Text 4 18" xfId="2882"/>
    <cellStyle name="Explanatory Text 4 19" xfId="2883"/>
    <cellStyle name="Explanatory Text 4 2" xfId="2884"/>
    <cellStyle name="Explanatory Text 4 20" xfId="2885"/>
    <cellStyle name="Explanatory Text 4 21" xfId="2886"/>
    <cellStyle name="Explanatory Text 4 3" xfId="2887"/>
    <cellStyle name="Explanatory Text 4 4" xfId="2888"/>
    <cellStyle name="Explanatory Text 4 5" xfId="2889"/>
    <cellStyle name="Explanatory Text 4 6" xfId="2890"/>
    <cellStyle name="Explanatory Text 4 7" xfId="2891"/>
    <cellStyle name="Explanatory Text 4 8" xfId="2892"/>
    <cellStyle name="Explanatory Text 4 9" xfId="2893"/>
    <cellStyle name="Explanatory Text 5" xfId="2894"/>
    <cellStyle name="Explanatory Text 6" xfId="2895"/>
    <cellStyle name="Explanatory Text 7" xfId="2896"/>
    <cellStyle name="Explanatory Text 8" xfId="2897"/>
    <cellStyle name="Explanatory Text 9" xfId="2898"/>
    <cellStyle name="Good" xfId="126" builtinId="26" customBuiltin="1"/>
    <cellStyle name="Good 10" xfId="2899"/>
    <cellStyle name="Good 11" xfId="2900"/>
    <cellStyle name="Good 12" xfId="2901"/>
    <cellStyle name="Good 13" xfId="2902"/>
    <cellStyle name="Good 14" xfId="2903"/>
    <cellStyle name="Good 2" xfId="31"/>
    <cellStyle name="Good 2 2" xfId="2904"/>
    <cellStyle name="Good 3" xfId="2905"/>
    <cellStyle name="Good 3 10" xfId="2906"/>
    <cellStyle name="Good 3 11" xfId="2907"/>
    <cellStyle name="Good 3 12" xfId="2908"/>
    <cellStyle name="Good 3 13" xfId="2909"/>
    <cellStyle name="Good 3 14" xfId="2910"/>
    <cellStyle name="Good 3 15" xfId="2911"/>
    <cellStyle name="Good 3 16" xfId="2912"/>
    <cellStyle name="Good 3 17" xfId="2913"/>
    <cellStyle name="Good 3 18" xfId="2914"/>
    <cellStyle name="Good 3 19" xfId="2915"/>
    <cellStyle name="Good 3 2" xfId="2916"/>
    <cellStyle name="Good 3 20" xfId="2917"/>
    <cellStyle name="Good 3 21" xfId="2918"/>
    <cellStyle name="Good 3 22" xfId="2919"/>
    <cellStyle name="Good 3 23" xfId="2920"/>
    <cellStyle name="Good 3 24" xfId="2921"/>
    <cellStyle name="Good 3 3" xfId="2922"/>
    <cellStyle name="Good 3 4" xfId="2923"/>
    <cellStyle name="Good 3 5" xfId="2924"/>
    <cellStyle name="Good 3 6" xfId="2925"/>
    <cellStyle name="Good 3 7" xfId="2926"/>
    <cellStyle name="Good 3 8" xfId="2927"/>
    <cellStyle name="Good 3 9" xfId="2928"/>
    <cellStyle name="Good 4" xfId="2929"/>
    <cellStyle name="Good 4 10" xfId="2930"/>
    <cellStyle name="Good 4 11" xfId="2931"/>
    <cellStyle name="Good 4 12" xfId="2932"/>
    <cellStyle name="Good 4 13" xfId="2933"/>
    <cellStyle name="Good 4 14" xfId="2934"/>
    <cellStyle name="Good 4 15" xfId="2935"/>
    <cellStyle name="Good 4 16" xfId="2936"/>
    <cellStyle name="Good 4 17" xfId="2937"/>
    <cellStyle name="Good 4 18" xfId="2938"/>
    <cellStyle name="Good 4 19" xfId="2939"/>
    <cellStyle name="Good 4 2" xfId="2940"/>
    <cellStyle name="Good 4 20" xfId="2941"/>
    <cellStyle name="Good 4 21" xfId="2942"/>
    <cellStyle name="Good 4 3" xfId="2943"/>
    <cellStyle name="Good 4 4" xfId="2944"/>
    <cellStyle name="Good 4 5" xfId="2945"/>
    <cellStyle name="Good 4 6" xfId="2946"/>
    <cellStyle name="Good 4 7" xfId="2947"/>
    <cellStyle name="Good 4 8" xfId="2948"/>
    <cellStyle name="Good 4 9" xfId="2949"/>
    <cellStyle name="Good 5" xfId="2950"/>
    <cellStyle name="Good 6" xfId="2951"/>
    <cellStyle name="Good 7" xfId="2952"/>
    <cellStyle name="Good 8" xfId="2953"/>
    <cellStyle name="Good 9" xfId="2954"/>
    <cellStyle name="Grey" xfId="2955"/>
    <cellStyle name="Gut" xfId="2956"/>
    <cellStyle name="Gut 2" xfId="2957"/>
    <cellStyle name="Header1" xfId="2958"/>
    <cellStyle name="Header2" xfId="2959"/>
    <cellStyle name="Heading 1" xfId="122" builtinId="16" customBuiltin="1"/>
    <cellStyle name="Heading 1 10" xfId="2960"/>
    <cellStyle name="Heading 1 11" xfId="2961"/>
    <cellStyle name="Heading 1 12" xfId="2962"/>
    <cellStyle name="Heading 1 13" xfId="2963"/>
    <cellStyle name="Heading 1 14" xfId="2964"/>
    <cellStyle name="Heading 1 2" xfId="32"/>
    <cellStyle name="Heading 1 2 2" xfId="2965"/>
    <cellStyle name="Heading 1 3" xfId="2966"/>
    <cellStyle name="Heading 1 3 10" xfId="2967"/>
    <cellStyle name="Heading 1 3 11" xfId="2968"/>
    <cellStyle name="Heading 1 3 12" xfId="2969"/>
    <cellStyle name="Heading 1 3 13" xfId="2970"/>
    <cellStyle name="Heading 1 3 14" xfId="2971"/>
    <cellStyle name="Heading 1 3 15" xfId="2972"/>
    <cellStyle name="Heading 1 3 16" xfId="2973"/>
    <cellStyle name="Heading 1 3 17" xfId="2974"/>
    <cellStyle name="Heading 1 3 18" xfId="2975"/>
    <cellStyle name="Heading 1 3 19" xfId="2976"/>
    <cellStyle name="Heading 1 3 2" xfId="2977"/>
    <cellStyle name="Heading 1 3 20" xfId="2978"/>
    <cellStyle name="Heading 1 3 21" xfId="2979"/>
    <cellStyle name="Heading 1 3 22" xfId="2980"/>
    <cellStyle name="Heading 1 3 23" xfId="2981"/>
    <cellStyle name="Heading 1 3 24" xfId="2982"/>
    <cellStyle name="Heading 1 3 3" xfId="2983"/>
    <cellStyle name="Heading 1 3 4" xfId="2984"/>
    <cellStyle name="Heading 1 3 5" xfId="2985"/>
    <cellStyle name="Heading 1 3 6" xfId="2986"/>
    <cellStyle name="Heading 1 3 7" xfId="2987"/>
    <cellStyle name="Heading 1 3 8" xfId="2988"/>
    <cellStyle name="Heading 1 3 9" xfId="2989"/>
    <cellStyle name="Heading 1 4" xfId="2990"/>
    <cellStyle name="Heading 1 4 10" xfId="2991"/>
    <cellStyle name="Heading 1 4 11" xfId="2992"/>
    <cellStyle name="Heading 1 4 12" xfId="2993"/>
    <cellStyle name="Heading 1 4 13" xfId="2994"/>
    <cellStyle name="Heading 1 4 14" xfId="2995"/>
    <cellStyle name="Heading 1 4 15" xfId="2996"/>
    <cellStyle name="Heading 1 4 16" xfId="2997"/>
    <cellStyle name="Heading 1 4 17" xfId="2998"/>
    <cellStyle name="Heading 1 4 18" xfId="2999"/>
    <cellStyle name="Heading 1 4 19" xfId="3000"/>
    <cellStyle name="Heading 1 4 2" xfId="3001"/>
    <cellStyle name="Heading 1 4 20" xfId="3002"/>
    <cellStyle name="Heading 1 4 21" xfId="3003"/>
    <cellStyle name="Heading 1 4 3" xfId="3004"/>
    <cellStyle name="Heading 1 4 4" xfId="3005"/>
    <cellStyle name="Heading 1 4 5" xfId="3006"/>
    <cellStyle name="Heading 1 4 6" xfId="3007"/>
    <cellStyle name="Heading 1 4 7" xfId="3008"/>
    <cellStyle name="Heading 1 4 8" xfId="3009"/>
    <cellStyle name="Heading 1 4 9" xfId="3010"/>
    <cellStyle name="Heading 1 5" xfId="3011"/>
    <cellStyle name="Heading 1 6" xfId="3012"/>
    <cellStyle name="Heading 1 7" xfId="3013"/>
    <cellStyle name="Heading 1 8" xfId="3014"/>
    <cellStyle name="Heading 1 9" xfId="3015"/>
    <cellStyle name="Heading 2" xfId="123" builtinId="17" customBuiltin="1"/>
    <cellStyle name="Heading 2 10" xfId="3016"/>
    <cellStyle name="Heading 2 11" xfId="3017"/>
    <cellStyle name="Heading 2 12" xfId="3018"/>
    <cellStyle name="Heading 2 13" xfId="3019"/>
    <cellStyle name="Heading 2 14" xfId="3020"/>
    <cellStyle name="Heading 2 2" xfId="33"/>
    <cellStyle name="Heading 2 2 2" xfId="3021"/>
    <cellStyle name="Heading 2 3" xfId="3022"/>
    <cellStyle name="Heading 2 3 10" xfId="3023"/>
    <cellStyle name="Heading 2 3 11" xfId="3024"/>
    <cellStyle name="Heading 2 3 12" xfId="3025"/>
    <cellStyle name="Heading 2 3 13" xfId="3026"/>
    <cellStyle name="Heading 2 3 14" xfId="3027"/>
    <cellStyle name="Heading 2 3 15" xfId="3028"/>
    <cellStyle name="Heading 2 3 16" xfId="3029"/>
    <cellStyle name="Heading 2 3 17" xfId="3030"/>
    <cellStyle name="Heading 2 3 18" xfId="3031"/>
    <cellStyle name="Heading 2 3 19" xfId="3032"/>
    <cellStyle name="Heading 2 3 2" xfId="3033"/>
    <cellStyle name="Heading 2 3 20" xfId="3034"/>
    <cellStyle name="Heading 2 3 21" xfId="3035"/>
    <cellStyle name="Heading 2 3 22" xfId="3036"/>
    <cellStyle name="Heading 2 3 23" xfId="3037"/>
    <cellStyle name="Heading 2 3 24" xfId="3038"/>
    <cellStyle name="Heading 2 3 3" xfId="3039"/>
    <cellStyle name="Heading 2 3 4" xfId="3040"/>
    <cellStyle name="Heading 2 3 5" xfId="3041"/>
    <cellStyle name="Heading 2 3 6" xfId="3042"/>
    <cellStyle name="Heading 2 3 7" xfId="3043"/>
    <cellStyle name="Heading 2 3 8" xfId="3044"/>
    <cellStyle name="Heading 2 3 9" xfId="3045"/>
    <cellStyle name="Heading 2 4" xfId="3046"/>
    <cellStyle name="Heading 2 4 10" xfId="3047"/>
    <cellStyle name="Heading 2 4 11" xfId="3048"/>
    <cellStyle name="Heading 2 4 12" xfId="3049"/>
    <cellStyle name="Heading 2 4 13" xfId="3050"/>
    <cellStyle name="Heading 2 4 14" xfId="3051"/>
    <cellStyle name="Heading 2 4 15" xfId="3052"/>
    <cellStyle name="Heading 2 4 16" xfId="3053"/>
    <cellStyle name="Heading 2 4 17" xfId="3054"/>
    <cellStyle name="Heading 2 4 18" xfId="3055"/>
    <cellStyle name="Heading 2 4 19" xfId="3056"/>
    <cellStyle name="Heading 2 4 2" xfId="3057"/>
    <cellStyle name="Heading 2 4 20" xfId="3058"/>
    <cellStyle name="Heading 2 4 21" xfId="3059"/>
    <cellStyle name="Heading 2 4 3" xfId="3060"/>
    <cellStyle name="Heading 2 4 4" xfId="3061"/>
    <cellStyle name="Heading 2 4 5" xfId="3062"/>
    <cellStyle name="Heading 2 4 6" xfId="3063"/>
    <cellStyle name="Heading 2 4 7" xfId="3064"/>
    <cellStyle name="Heading 2 4 8" xfId="3065"/>
    <cellStyle name="Heading 2 4 9" xfId="3066"/>
    <cellStyle name="Heading 2 5" xfId="3067"/>
    <cellStyle name="Heading 2 6" xfId="3068"/>
    <cellStyle name="Heading 2 7" xfId="3069"/>
    <cellStyle name="Heading 2 8" xfId="3070"/>
    <cellStyle name="Heading 2 9" xfId="3071"/>
    <cellStyle name="Heading 3" xfId="124" builtinId="18" customBuiltin="1"/>
    <cellStyle name="Heading 3 10" xfId="3072"/>
    <cellStyle name="Heading 3 11" xfId="3073"/>
    <cellStyle name="Heading 3 12" xfId="3074"/>
    <cellStyle name="Heading 3 13" xfId="3075"/>
    <cellStyle name="Heading 3 14" xfId="3076"/>
    <cellStyle name="Heading 3 2" xfId="34"/>
    <cellStyle name="Heading 3 2 2" xfId="3077"/>
    <cellStyle name="Heading 3 3" xfId="3078"/>
    <cellStyle name="Heading 3 3 10" xfId="3079"/>
    <cellStyle name="Heading 3 3 11" xfId="3080"/>
    <cellStyle name="Heading 3 3 12" xfId="3081"/>
    <cellStyle name="Heading 3 3 13" xfId="3082"/>
    <cellStyle name="Heading 3 3 14" xfId="3083"/>
    <cellStyle name="Heading 3 3 15" xfId="3084"/>
    <cellStyle name="Heading 3 3 16" xfId="3085"/>
    <cellStyle name="Heading 3 3 17" xfId="3086"/>
    <cellStyle name="Heading 3 3 18" xfId="3087"/>
    <cellStyle name="Heading 3 3 19" xfId="3088"/>
    <cellStyle name="Heading 3 3 2" xfId="3089"/>
    <cellStyle name="Heading 3 3 20" xfId="3090"/>
    <cellStyle name="Heading 3 3 21" xfId="3091"/>
    <cellStyle name="Heading 3 3 22" xfId="3092"/>
    <cellStyle name="Heading 3 3 23" xfId="3093"/>
    <cellStyle name="Heading 3 3 24" xfId="3094"/>
    <cellStyle name="Heading 3 3 3" xfId="3095"/>
    <cellStyle name="Heading 3 3 4" xfId="3096"/>
    <cellStyle name="Heading 3 3 5" xfId="3097"/>
    <cellStyle name="Heading 3 3 6" xfId="3098"/>
    <cellStyle name="Heading 3 3 7" xfId="3099"/>
    <cellStyle name="Heading 3 3 8" xfId="3100"/>
    <cellStyle name="Heading 3 3 9" xfId="3101"/>
    <cellStyle name="Heading 3 4" xfId="3102"/>
    <cellStyle name="Heading 3 4 10" xfId="3103"/>
    <cellStyle name="Heading 3 4 11" xfId="3104"/>
    <cellStyle name="Heading 3 4 12" xfId="3105"/>
    <cellStyle name="Heading 3 4 13" xfId="3106"/>
    <cellStyle name="Heading 3 4 14" xfId="3107"/>
    <cellStyle name="Heading 3 4 15" xfId="3108"/>
    <cellStyle name="Heading 3 4 16" xfId="3109"/>
    <cellStyle name="Heading 3 4 17" xfId="3110"/>
    <cellStyle name="Heading 3 4 18" xfId="3111"/>
    <cellStyle name="Heading 3 4 19" xfId="3112"/>
    <cellStyle name="Heading 3 4 2" xfId="3113"/>
    <cellStyle name="Heading 3 4 20" xfId="3114"/>
    <cellStyle name="Heading 3 4 21" xfId="3115"/>
    <cellStyle name="Heading 3 4 3" xfId="3116"/>
    <cellStyle name="Heading 3 4 4" xfId="3117"/>
    <cellStyle name="Heading 3 4 5" xfId="3118"/>
    <cellStyle name="Heading 3 4 6" xfId="3119"/>
    <cellStyle name="Heading 3 4 7" xfId="3120"/>
    <cellStyle name="Heading 3 4 8" xfId="3121"/>
    <cellStyle name="Heading 3 4 9" xfId="3122"/>
    <cellStyle name="Heading 3 5" xfId="3123"/>
    <cellStyle name="Heading 3 6" xfId="3124"/>
    <cellStyle name="Heading 3 7" xfId="3125"/>
    <cellStyle name="Heading 3 8" xfId="3126"/>
    <cellStyle name="Heading 3 9" xfId="3127"/>
    <cellStyle name="Heading 4" xfId="125" builtinId="19" customBuiltin="1"/>
    <cellStyle name="Heading 4 10" xfId="3128"/>
    <cellStyle name="Heading 4 11" xfId="3129"/>
    <cellStyle name="Heading 4 12" xfId="3130"/>
    <cellStyle name="Heading 4 13" xfId="3131"/>
    <cellStyle name="Heading 4 14" xfId="3132"/>
    <cellStyle name="Heading 4 2" xfId="35"/>
    <cellStyle name="Heading 4 2 2" xfId="3133"/>
    <cellStyle name="Heading 4 3" xfId="3134"/>
    <cellStyle name="Heading 4 3 10" xfId="3135"/>
    <cellStyle name="Heading 4 3 11" xfId="3136"/>
    <cellStyle name="Heading 4 3 12" xfId="3137"/>
    <cellStyle name="Heading 4 3 13" xfId="3138"/>
    <cellStyle name="Heading 4 3 14" xfId="3139"/>
    <cellStyle name="Heading 4 3 15" xfId="3140"/>
    <cellStyle name="Heading 4 3 16" xfId="3141"/>
    <cellStyle name="Heading 4 3 17" xfId="3142"/>
    <cellStyle name="Heading 4 3 18" xfId="3143"/>
    <cellStyle name="Heading 4 3 19" xfId="3144"/>
    <cellStyle name="Heading 4 3 2" xfId="3145"/>
    <cellStyle name="Heading 4 3 20" xfId="3146"/>
    <cellStyle name="Heading 4 3 21" xfId="3147"/>
    <cellStyle name="Heading 4 3 22" xfId="3148"/>
    <cellStyle name="Heading 4 3 23" xfId="3149"/>
    <cellStyle name="Heading 4 3 24" xfId="3150"/>
    <cellStyle name="Heading 4 3 3" xfId="3151"/>
    <cellStyle name="Heading 4 3 4" xfId="3152"/>
    <cellStyle name="Heading 4 3 5" xfId="3153"/>
    <cellStyle name="Heading 4 3 6" xfId="3154"/>
    <cellStyle name="Heading 4 3 7" xfId="3155"/>
    <cellStyle name="Heading 4 3 8" xfId="3156"/>
    <cellStyle name="Heading 4 3 9" xfId="3157"/>
    <cellStyle name="Heading 4 4" xfId="3158"/>
    <cellStyle name="Heading 4 4 10" xfId="3159"/>
    <cellStyle name="Heading 4 4 11" xfId="3160"/>
    <cellStyle name="Heading 4 4 12" xfId="3161"/>
    <cellStyle name="Heading 4 4 13" xfId="3162"/>
    <cellStyle name="Heading 4 4 14" xfId="3163"/>
    <cellStyle name="Heading 4 4 15" xfId="3164"/>
    <cellStyle name="Heading 4 4 16" xfId="3165"/>
    <cellStyle name="Heading 4 4 17" xfId="3166"/>
    <cellStyle name="Heading 4 4 18" xfId="3167"/>
    <cellStyle name="Heading 4 4 19" xfId="3168"/>
    <cellStyle name="Heading 4 4 2" xfId="3169"/>
    <cellStyle name="Heading 4 4 20" xfId="3170"/>
    <cellStyle name="Heading 4 4 21" xfId="3171"/>
    <cellStyle name="Heading 4 4 3" xfId="3172"/>
    <cellStyle name="Heading 4 4 4" xfId="3173"/>
    <cellStyle name="Heading 4 4 5" xfId="3174"/>
    <cellStyle name="Heading 4 4 6" xfId="3175"/>
    <cellStyle name="Heading 4 4 7" xfId="3176"/>
    <cellStyle name="Heading 4 4 8" xfId="3177"/>
    <cellStyle name="Heading 4 4 9" xfId="3178"/>
    <cellStyle name="Heading 4 5" xfId="3179"/>
    <cellStyle name="Heading 4 6" xfId="3180"/>
    <cellStyle name="Heading 4 7" xfId="3181"/>
    <cellStyle name="Heading 4 8" xfId="3182"/>
    <cellStyle name="Heading 4 9" xfId="3183"/>
    <cellStyle name="Hiperveza 2" xfId="3184"/>
    <cellStyle name="Hiperveza 2 2" xfId="3185"/>
    <cellStyle name="Hyperlink 2" xfId="3186"/>
    <cellStyle name="Hyperlink 2 2" xfId="4891"/>
    <cellStyle name="Input" xfId="128" builtinId="20" customBuiltin="1"/>
    <cellStyle name="Input [yellow]" xfId="3187"/>
    <cellStyle name="Input 10" xfId="3188"/>
    <cellStyle name="Input 11" xfId="3189"/>
    <cellStyle name="Input 12" xfId="3190"/>
    <cellStyle name="Input 13" xfId="3191"/>
    <cellStyle name="Input 14" xfId="3192"/>
    <cellStyle name="Input 15" xfId="3193"/>
    <cellStyle name="Input 16" xfId="3194"/>
    <cellStyle name="Input 17" xfId="3195"/>
    <cellStyle name="Input 18" xfId="3196"/>
    <cellStyle name="Input 19" xfId="3197"/>
    <cellStyle name="Input 2" xfId="36"/>
    <cellStyle name="Input 2 2" xfId="3198"/>
    <cellStyle name="Input 20" xfId="3199"/>
    <cellStyle name="Input 21" xfId="3200"/>
    <cellStyle name="Input 22" xfId="3201"/>
    <cellStyle name="Input 23" xfId="3202"/>
    <cellStyle name="Input 24" xfId="3203"/>
    <cellStyle name="Input 3" xfId="3204"/>
    <cellStyle name="Input 3 10" xfId="3205"/>
    <cellStyle name="Input 3 11" xfId="3206"/>
    <cellStyle name="Input 3 12" xfId="3207"/>
    <cellStyle name="Input 3 13" xfId="3208"/>
    <cellStyle name="Input 3 14" xfId="3209"/>
    <cellStyle name="Input 3 15" xfId="3210"/>
    <cellStyle name="Input 3 16" xfId="3211"/>
    <cellStyle name="Input 3 17" xfId="3212"/>
    <cellStyle name="Input 3 18" xfId="3213"/>
    <cellStyle name="Input 3 19" xfId="3214"/>
    <cellStyle name="Input 3 2" xfId="3215"/>
    <cellStyle name="Input 3 20" xfId="3216"/>
    <cellStyle name="Input 3 21" xfId="3217"/>
    <cellStyle name="Input 3 22" xfId="3218"/>
    <cellStyle name="Input 3 23" xfId="3219"/>
    <cellStyle name="Input 3 24" xfId="3220"/>
    <cellStyle name="Input 3 3" xfId="3221"/>
    <cellStyle name="Input 3 4" xfId="3222"/>
    <cellStyle name="Input 3 5" xfId="3223"/>
    <cellStyle name="Input 3 6" xfId="3224"/>
    <cellStyle name="Input 3 7" xfId="3225"/>
    <cellStyle name="Input 3 8" xfId="3226"/>
    <cellStyle name="Input 3 9" xfId="3227"/>
    <cellStyle name="Input 4" xfId="3228"/>
    <cellStyle name="Input 4 10" xfId="3229"/>
    <cellStyle name="Input 4 11" xfId="3230"/>
    <cellStyle name="Input 4 12" xfId="3231"/>
    <cellStyle name="Input 4 13" xfId="3232"/>
    <cellStyle name="Input 4 14" xfId="3233"/>
    <cellStyle name="Input 4 15" xfId="3234"/>
    <cellStyle name="Input 4 16" xfId="3235"/>
    <cellStyle name="Input 4 17" xfId="3236"/>
    <cellStyle name="Input 4 18" xfId="3237"/>
    <cellStyle name="Input 4 19" xfId="3238"/>
    <cellStyle name="Input 4 2" xfId="3239"/>
    <cellStyle name="Input 4 20" xfId="3240"/>
    <cellStyle name="Input 4 21" xfId="3241"/>
    <cellStyle name="Input 4 3" xfId="3242"/>
    <cellStyle name="Input 4 4" xfId="3243"/>
    <cellStyle name="Input 4 5" xfId="3244"/>
    <cellStyle name="Input 4 6" xfId="3245"/>
    <cellStyle name="Input 4 7" xfId="3246"/>
    <cellStyle name="Input 4 8" xfId="3247"/>
    <cellStyle name="Input 4 9" xfId="3248"/>
    <cellStyle name="Input 5" xfId="3249"/>
    <cellStyle name="Input 6" xfId="3250"/>
    <cellStyle name="Input 7" xfId="3251"/>
    <cellStyle name="Input 8" xfId="3252"/>
    <cellStyle name="Input 9" xfId="3253"/>
    <cellStyle name="Insatisfaisant" xfId="3254"/>
    <cellStyle name="Isticanje1 2" xfId="3255"/>
    <cellStyle name="Isticanje1 3" xfId="3256"/>
    <cellStyle name="Isticanje1 3 2" xfId="3257"/>
    <cellStyle name="Isticanje2 2" xfId="3258"/>
    <cellStyle name="Isticanje2 3" xfId="3259"/>
    <cellStyle name="Isticanje2 3 2" xfId="3260"/>
    <cellStyle name="Isticanje3 2" xfId="3261"/>
    <cellStyle name="Isticanje3 3" xfId="3262"/>
    <cellStyle name="Isticanje3 3 2" xfId="3263"/>
    <cellStyle name="Isticanje4 2" xfId="3264"/>
    <cellStyle name="Isticanje4 3" xfId="3265"/>
    <cellStyle name="Isticanje4 3 2" xfId="3266"/>
    <cellStyle name="Isticanje5 2" xfId="3267"/>
    <cellStyle name="Isticanje5 3" xfId="3268"/>
    <cellStyle name="Isticanje6 2" xfId="3269"/>
    <cellStyle name="Isticanje6 3" xfId="3270"/>
    <cellStyle name="Isticanje6 3 2" xfId="3271"/>
    <cellStyle name="Izhod" xfId="3272"/>
    <cellStyle name="Izlaz 2" xfId="3273"/>
    <cellStyle name="Izlaz 3" xfId="3274"/>
    <cellStyle name="Izlaz 3 2" xfId="3275"/>
    <cellStyle name="Izračun 2" xfId="3276"/>
    <cellStyle name="Izračun 3" xfId="3277"/>
    <cellStyle name="Izračun 3 2" xfId="3278"/>
    <cellStyle name="Keš" xfId="3279"/>
    <cellStyle name="kolona A" xfId="3280"/>
    <cellStyle name="kolona B" xfId="3281"/>
    <cellStyle name="kolona C" xfId="3282"/>
    <cellStyle name="kolona D" xfId="3283"/>
    <cellStyle name="kolona E" xfId="3284"/>
    <cellStyle name="kolona F" xfId="3285"/>
    <cellStyle name="kolona G" xfId="3286"/>
    <cellStyle name="kolona H" xfId="3287"/>
    <cellStyle name="LEGENDA" xfId="3288"/>
    <cellStyle name="Link Currency (0)" xfId="3289"/>
    <cellStyle name="Link Currency (2)" xfId="3290"/>
    <cellStyle name="Link Units (0)" xfId="3291"/>
    <cellStyle name="Link Units (1)" xfId="3292"/>
    <cellStyle name="Link Units (2)" xfId="3293"/>
    <cellStyle name="Linked Cell" xfId="130" builtinId="24" customBuiltin="1"/>
    <cellStyle name="Linked Cell 10" xfId="3294"/>
    <cellStyle name="Linked Cell 11" xfId="3295"/>
    <cellStyle name="Linked Cell 12" xfId="3296"/>
    <cellStyle name="Linked Cell 13" xfId="3297"/>
    <cellStyle name="Linked Cell 14" xfId="3298"/>
    <cellStyle name="Linked Cell 2" xfId="37"/>
    <cellStyle name="Linked Cell 2 2" xfId="3299"/>
    <cellStyle name="Linked Cell 3" xfId="3300"/>
    <cellStyle name="Linked Cell 3 10" xfId="3301"/>
    <cellStyle name="Linked Cell 3 11" xfId="3302"/>
    <cellStyle name="Linked Cell 3 12" xfId="3303"/>
    <cellStyle name="Linked Cell 3 13" xfId="3304"/>
    <cellStyle name="Linked Cell 3 14" xfId="3305"/>
    <cellStyle name="Linked Cell 3 15" xfId="3306"/>
    <cellStyle name="Linked Cell 3 16" xfId="3307"/>
    <cellStyle name="Linked Cell 3 17" xfId="3308"/>
    <cellStyle name="Linked Cell 3 18" xfId="3309"/>
    <cellStyle name="Linked Cell 3 19" xfId="3310"/>
    <cellStyle name="Linked Cell 3 2" xfId="3311"/>
    <cellStyle name="Linked Cell 3 20" xfId="3312"/>
    <cellStyle name="Linked Cell 3 21" xfId="3313"/>
    <cellStyle name="Linked Cell 3 22" xfId="3314"/>
    <cellStyle name="Linked Cell 3 23" xfId="3315"/>
    <cellStyle name="Linked Cell 3 24" xfId="3316"/>
    <cellStyle name="Linked Cell 3 3" xfId="3317"/>
    <cellStyle name="Linked Cell 3 4" xfId="3318"/>
    <cellStyle name="Linked Cell 3 5" xfId="3319"/>
    <cellStyle name="Linked Cell 3 6" xfId="3320"/>
    <cellStyle name="Linked Cell 3 7" xfId="3321"/>
    <cellStyle name="Linked Cell 3 8" xfId="3322"/>
    <cellStyle name="Linked Cell 3 9" xfId="3323"/>
    <cellStyle name="Linked Cell 4" xfId="3324"/>
    <cellStyle name="Linked Cell 4 10" xfId="3325"/>
    <cellStyle name="Linked Cell 4 11" xfId="3326"/>
    <cellStyle name="Linked Cell 4 12" xfId="3327"/>
    <cellStyle name="Linked Cell 4 13" xfId="3328"/>
    <cellStyle name="Linked Cell 4 14" xfId="3329"/>
    <cellStyle name="Linked Cell 4 15" xfId="3330"/>
    <cellStyle name="Linked Cell 4 16" xfId="3331"/>
    <cellStyle name="Linked Cell 4 17" xfId="3332"/>
    <cellStyle name="Linked Cell 4 18" xfId="3333"/>
    <cellStyle name="Linked Cell 4 19" xfId="3334"/>
    <cellStyle name="Linked Cell 4 2" xfId="3335"/>
    <cellStyle name="Linked Cell 4 20" xfId="3336"/>
    <cellStyle name="Linked Cell 4 21" xfId="3337"/>
    <cellStyle name="Linked Cell 4 3" xfId="3338"/>
    <cellStyle name="Linked Cell 4 4" xfId="3339"/>
    <cellStyle name="Linked Cell 4 5" xfId="3340"/>
    <cellStyle name="Linked Cell 4 6" xfId="3341"/>
    <cellStyle name="Linked Cell 4 7" xfId="3342"/>
    <cellStyle name="Linked Cell 4 8" xfId="3343"/>
    <cellStyle name="Linked Cell 4 9" xfId="3344"/>
    <cellStyle name="Linked Cell 5" xfId="3345"/>
    <cellStyle name="Linked Cell 6" xfId="3346"/>
    <cellStyle name="Linked Cell 7" xfId="3347"/>
    <cellStyle name="Linked Cell 8" xfId="3348"/>
    <cellStyle name="Linked Cell 9" xfId="3349"/>
    <cellStyle name="Loše 2" xfId="3350"/>
    <cellStyle name="Loše 3" xfId="3351"/>
    <cellStyle name="Loše 3 2" xfId="3352"/>
    <cellStyle name="merge" xfId="4888"/>
    <cellStyle name="Milliers [0]_laroux" xfId="3353"/>
    <cellStyle name="Milliers_laroux" xfId="3354"/>
    <cellStyle name="Naslov 1 2" xfId="3355"/>
    <cellStyle name="Naslov 1 3" xfId="3356"/>
    <cellStyle name="Naslov 1 3 2" xfId="3357"/>
    <cellStyle name="NASLOV 10" xfId="3358"/>
    <cellStyle name="Naslov 100" xfId="3359"/>
    <cellStyle name="Naslov 100 2" xfId="3360"/>
    <cellStyle name="Naslov 101" xfId="3361"/>
    <cellStyle name="Naslov 101 2" xfId="3362"/>
    <cellStyle name="Naslov 102" xfId="3363"/>
    <cellStyle name="Naslov 102 2" xfId="3364"/>
    <cellStyle name="Naslov 103" xfId="3365"/>
    <cellStyle name="Naslov 103 2" xfId="3366"/>
    <cellStyle name="Naslov 104" xfId="3367"/>
    <cellStyle name="Naslov 104 2" xfId="3368"/>
    <cellStyle name="Naslov 105" xfId="3369"/>
    <cellStyle name="Naslov 105 2" xfId="3370"/>
    <cellStyle name="Naslov 106" xfId="3371"/>
    <cellStyle name="Naslov 106 2" xfId="3372"/>
    <cellStyle name="Naslov 107" xfId="3373"/>
    <cellStyle name="Naslov 107 2" xfId="3374"/>
    <cellStyle name="Naslov 108" xfId="3375"/>
    <cellStyle name="Naslov 108 2" xfId="3376"/>
    <cellStyle name="NASLOV 11" xfId="3377"/>
    <cellStyle name="NASLOV 12" xfId="3378"/>
    <cellStyle name="NASLOV 13" xfId="3379"/>
    <cellStyle name="NASLOV 14" xfId="3380"/>
    <cellStyle name="NASLOV 15" xfId="3381"/>
    <cellStyle name="NASLOV 16" xfId="3382"/>
    <cellStyle name="NASLOV 17" xfId="3383"/>
    <cellStyle name="NASLOV 18" xfId="3384"/>
    <cellStyle name="NASLOV 19" xfId="3385"/>
    <cellStyle name="Naslov 2 2" xfId="3386"/>
    <cellStyle name="Naslov 2 3" xfId="3387"/>
    <cellStyle name="Naslov 2 3 2" xfId="3388"/>
    <cellStyle name="Naslov 20" xfId="3389"/>
    <cellStyle name="Naslov 20 2" xfId="3390"/>
    <cellStyle name="Naslov 21" xfId="3391"/>
    <cellStyle name="Naslov 21 2" xfId="3392"/>
    <cellStyle name="Naslov 22" xfId="3393"/>
    <cellStyle name="Naslov 22 2" xfId="3394"/>
    <cellStyle name="Naslov 23" xfId="3395"/>
    <cellStyle name="Naslov 23 2" xfId="3396"/>
    <cellStyle name="Naslov 24" xfId="3397"/>
    <cellStyle name="Naslov 24 2" xfId="3398"/>
    <cellStyle name="Naslov 25" xfId="3399"/>
    <cellStyle name="Naslov 25 2" xfId="3400"/>
    <cellStyle name="Naslov 26" xfId="3401"/>
    <cellStyle name="Naslov 26 2" xfId="3402"/>
    <cellStyle name="Naslov 27" xfId="3403"/>
    <cellStyle name="Naslov 27 2" xfId="3404"/>
    <cellStyle name="Naslov 28" xfId="3405"/>
    <cellStyle name="Naslov 28 2" xfId="3406"/>
    <cellStyle name="Naslov 29" xfId="3407"/>
    <cellStyle name="Naslov 29 2" xfId="3408"/>
    <cellStyle name="Naslov 3 2" xfId="3409"/>
    <cellStyle name="Naslov 3 3" xfId="3410"/>
    <cellStyle name="Naslov 3 3 2" xfId="3411"/>
    <cellStyle name="Naslov 30" xfId="3412"/>
    <cellStyle name="Naslov 30 2" xfId="3413"/>
    <cellStyle name="Naslov 31" xfId="3414"/>
    <cellStyle name="Naslov 31 2" xfId="3415"/>
    <cellStyle name="Naslov 32" xfId="3416"/>
    <cellStyle name="Naslov 32 2" xfId="3417"/>
    <cellStyle name="Naslov 33" xfId="3418"/>
    <cellStyle name="Naslov 33 2" xfId="3419"/>
    <cellStyle name="Naslov 34" xfId="3420"/>
    <cellStyle name="Naslov 34 2" xfId="3421"/>
    <cellStyle name="Naslov 35" xfId="3422"/>
    <cellStyle name="Naslov 35 2" xfId="3423"/>
    <cellStyle name="Naslov 36" xfId="3424"/>
    <cellStyle name="Naslov 36 2" xfId="3425"/>
    <cellStyle name="Naslov 37" xfId="3426"/>
    <cellStyle name="Naslov 37 2" xfId="3427"/>
    <cellStyle name="Naslov 38" xfId="3428"/>
    <cellStyle name="Naslov 38 2" xfId="3429"/>
    <cellStyle name="Naslov 39" xfId="3430"/>
    <cellStyle name="Naslov 39 2" xfId="3431"/>
    <cellStyle name="Naslov 4 2" xfId="3432"/>
    <cellStyle name="Naslov 4 3" xfId="3433"/>
    <cellStyle name="Naslov 4 3 2" xfId="3434"/>
    <cellStyle name="Naslov 40" xfId="3435"/>
    <cellStyle name="Naslov 40 2" xfId="3436"/>
    <cellStyle name="Naslov 41" xfId="3437"/>
    <cellStyle name="Naslov 41 2" xfId="3438"/>
    <cellStyle name="Naslov 42" xfId="3439"/>
    <cellStyle name="Naslov 42 2" xfId="3440"/>
    <cellStyle name="Naslov 43" xfId="3441"/>
    <cellStyle name="Naslov 43 2" xfId="3442"/>
    <cellStyle name="Naslov 44" xfId="3443"/>
    <cellStyle name="Naslov 44 2" xfId="3444"/>
    <cellStyle name="Naslov 45" xfId="3445"/>
    <cellStyle name="Naslov 45 2" xfId="3446"/>
    <cellStyle name="Naslov 46" xfId="3447"/>
    <cellStyle name="Naslov 46 2" xfId="3448"/>
    <cellStyle name="Naslov 47" xfId="3449"/>
    <cellStyle name="Naslov 47 2" xfId="3450"/>
    <cellStyle name="Naslov 48" xfId="3451"/>
    <cellStyle name="Naslov 48 2" xfId="3452"/>
    <cellStyle name="Naslov 49" xfId="3453"/>
    <cellStyle name="Naslov 49 2" xfId="3454"/>
    <cellStyle name="Naslov 5" xfId="3455"/>
    <cellStyle name="NASLOV 5 2" xfId="3456"/>
    <cellStyle name="Naslov 50" xfId="3457"/>
    <cellStyle name="Naslov 50 2" xfId="3458"/>
    <cellStyle name="Naslov 51" xfId="3459"/>
    <cellStyle name="Naslov 51 2" xfId="3460"/>
    <cellStyle name="Naslov 52" xfId="3461"/>
    <cellStyle name="Naslov 52 2" xfId="3462"/>
    <cellStyle name="Naslov 53" xfId="3463"/>
    <cellStyle name="Naslov 53 2" xfId="3464"/>
    <cellStyle name="Naslov 54" xfId="3465"/>
    <cellStyle name="Naslov 54 2" xfId="3466"/>
    <cellStyle name="Naslov 55" xfId="3467"/>
    <cellStyle name="Naslov 55 2" xfId="3468"/>
    <cellStyle name="Naslov 56" xfId="3469"/>
    <cellStyle name="Naslov 56 2" xfId="3470"/>
    <cellStyle name="Naslov 57" xfId="3471"/>
    <cellStyle name="Naslov 57 2" xfId="3472"/>
    <cellStyle name="Naslov 58" xfId="3473"/>
    <cellStyle name="Naslov 58 2" xfId="3474"/>
    <cellStyle name="Naslov 59" xfId="3475"/>
    <cellStyle name="Naslov 59 2" xfId="3476"/>
    <cellStyle name="NASLOV 6" xfId="3477"/>
    <cellStyle name="Naslov 60" xfId="3478"/>
    <cellStyle name="Naslov 60 2" xfId="3479"/>
    <cellStyle name="Naslov 61" xfId="3480"/>
    <cellStyle name="Naslov 61 2" xfId="3481"/>
    <cellStyle name="Naslov 62" xfId="3482"/>
    <cellStyle name="Naslov 62 2" xfId="3483"/>
    <cellStyle name="Naslov 63" xfId="3484"/>
    <cellStyle name="Naslov 63 2" xfId="3485"/>
    <cellStyle name="Naslov 64" xfId="3486"/>
    <cellStyle name="Naslov 64 2" xfId="3487"/>
    <cellStyle name="Naslov 65" xfId="3488"/>
    <cellStyle name="Naslov 65 2" xfId="3489"/>
    <cellStyle name="Naslov 66" xfId="3490"/>
    <cellStyle name="Naslov 66 2" xfId="3491"/>
    <cellStyle name="Naslov 67" xfId="3492"/>
    <cellStyle name="Naslov 67 2" xfId="3493"/>
    <cellStyle name="Naslov 68" xfId="3494"/>
    <cellStyle name="Naslov 68 2" xfId="3495"/>
    <cellStyle name="Naslov 69" xfId="3496"/>
    <cellStyle name="Naslov 69 2" xfId="3497"/>
    <cellStyle name="NASLOV 7" xfId="3498"/>
    <cellStyle name="Naslov 70" xfId="3499"/>
    <cellStyle name="Naslov 70 2" xfId="3500"/>
    <cellStyle name="Naslov 71" xfId="3501"/>
    <cellStyle name="Naslov 71 2" xfId="3502"/>
    <cellStyle name="Naslov 72" xfId="3503"/>
    <cellStyle name="Naslov 72 2" xfId="3504"/>
    <cellStyle name="Naslov 73" xfId="3505"/>
    <cellStyle name="Naslov 73 2" xfId="3506"/>
    <cellStyle name="Naslov 74" xfId="3507"/>
    <cellStyle name="Naslov 74 2" xfId="3508"/>
    <cellStyle name="Naslov 75" xfId="3509"/>
    <cellStyle name="Naslov 75 2" xfId="3510"/>
    <cellStyle name="Naslov 76" xfId="3511"/>
    <cellStyle name="Naslov 76 2" xfId="3512"/>
    <cellStyle name="Naslov 77" xfId="3513"/>
    <cellStyle name="Naslov 77 2" xfId="3514"/>
    <cellStyle name="Naslov 78" xfId="3515"/>
    <cellStyle name="Naslov 78 2" xfId="3516"/>
    <cellStyle name="Naslov 79" xfId="3517"/>
    <cellStyle name="Naslov 79 2" xfId="3518"/>
    <cellStyle name="NASLOV 8" xfId="3519"/>
    <cellStyle name="Naslov 80" xfId="3520"/>
    <cellStyle name="Naslov 80 2" xfId="3521"/>
    <cellStyle name="Naslov 81" xfId="3522"/>
    <cellStyle name="Naslov 81 2" xfId="3523"/>
    <cellStyle name="Naslov 82" xfId="3524"/>
    <cellStyle name="Naslov 82 2" xfId="3525"/>
    <cellStyle name="Naslov 83" xfId="3526"/>
    <cellStyle name="Naslov 83 2" xfId="3527"/>
    <cellStyle name="Naslov 84" xfId="3528"/>
    <cellStyle name="Naslov 84 2" xfId="3529"/>
    <cellStyle name="Naslov 85" xfId="3530"/>
    <cellStyle name="Naslov 85 2" xfId="3531"/>
    <cellStyle name="Naslov 86" xfId="3532"/>
    <cellStyle name="Naslov 86 2" xfId="3533"/>
    <cellStyle name="Naslov 87" xfId="3534"/>
    <cellStyle name="Naslov 87 2" xfId="3535"/>
    <cellStyle name="Naslov 88" xfId="3536"/>
    <cellStyle name="Naslov 88 2" xfId="3537"/>
    <cellStyle name="Naslov 89" xfId="3538"/>
    <cellStyle name="Naslov 89 2" xfId="3539"/>
    <cellStyle name="NASLOV 9" xfId="3540"/>
    <cellStyle name="Naslov 90" xfId="3541"/>
    <cellStyle name="Naslov 90 2" xfId="3542"/>
    <cellStyle name="Naslov 91" xfId="3543"/>
    <cellStyle name="Naslov 91 2" xfId="3544"/>
    <cellStyle name="Naslov 92" xfId="3545"/>
    <cellStyle name="Naslov 92 2" xfId="3546"/>
    <cellStyle name="Naslov 93" xfId="3547"/>
    <cellStyle name="Naslov 93 2" xfId="3548"/>
    <cellStyle name="Naslov 94" xfId="3549"/>
    <cellStyle name="Naslov 94 2" xfId="3550"/>
    <cellStyle name="Naslov 95" xfId="3551"/>
    <cellStyle name="Naslov 95 2" xfId="3552"/>
    <cellStyle name="Naslov 96" xfId="3553"/>
    <cellStyle name="Naslov 96 2" xfId="3554"/>
    <cellStyle name="Naslov 97" xfId="3555"/>
    <cellStyle name="Naslov 97 2" xfId="3556"/>
    <cellStyle name="Naslov 98" xfId="3557"/>
    <cellStyle name="Naslov 98 2" xfId="3558"/>
    <cellStyle name="Naslov 99" xfId="3559"/>
    <cellStyle name="Naslov 99 2" xfId="3560"/>
    <cellStyle name="Navadno 3" xfId="3561"/>
    <cellStyle name="Navadno_BoQ-SE" xfId="3562"/>
    <cellStyle name="Neutral 10" xfId="3563"/>
    <cellStyle name="Neutral 11" xfId="3564"/>
    <cellStyle name="Neutral 12" xfId="3565"/>
    <cellStyle name="Neutral 13" xfId="3566"/>
    <cellStyle name="Neutral 14" xfId="3567"/>
    <cellStyle name="Neutral 15" xfId="3568"/>
    <cellStyle name="Neutral 2" xfId="38"/>
    <cellStyle name="Neutral 2 2" xfId="3569"/>
    <cellStyle name="Neutral 3" xfId="3570"/>
    <cellStyle name="Neutral 3 10" xfId="3571"/>
    <cellStyle name="Neutral 3 11" xfId="3572"/>
    <cellStyle name="Neutral 3 12" xfId="3573"/>
    <cellStyle name="Neutral 3 13" xfId="3574"/>
    <cellStyle name="Neutral 3 14" xfId="3575"/>
    <cellStyle name="Neutral 3 15" xfId="3576"/>
    <cellStyle name="Neutral 3 16" xfId="3577"/>
    <cellStyle name="Neutral 3 17" xfId="3578"/>
    <cellStyle name="Neutral 3 18" xfId="3579"/>
    <cellStyle name="Neutral 3 19" xfId="3580"/>
    <cellStyle name="Neutral 3 2" xfId="3581"/>
    <cellStyle name="Neutral 3 20" xfId="3582"/>
    <cellStyle name="Neutral 3 21" xfId="3583"/>
    <cellStyle name="Neutral 3 22" xfId="3584"/>
    <cellStyle name="Neutral 3 23" xfId="3585"/>
    <cellStyle name="Neutral 3 24" xfId="3586"/>
    <cellStyle name="Neutral 3 3" xfId="3587"/>
    <cellStyle name="Neutral 3 4" xfId="3588"/>
    <cellStyle name="Neutral 3 5" xfId="3589"/>
    <cellStyle name="Neutral 3 6" xfId="3590"/>
    <cellStyle name="Neutral 3 7" xfId="3591"/>
    <cellStyle name="Neutral 3 8" xfId="3592"/>
    <cellStyle name="Neutral 3 9" xfId="3593"/>
    <cellStyle name="Neutral 4" xfId="3594"/>
    <cellStyle name="Neutral 4 10" xfId="3595"/>
    <cellStyle name="Neutral 4 11" xfId="3596"/>
    <cellStyle name="Neutral 4 12" xfId="3597"/>
    <cellStyle name="Neutral 4 13" xfId="3598"/>
    <cellStyle name="Neutral 4 14" xfId="3599"/>
    <cellStyle name="Neutral 4 15" xfId="3600"/>
    <cellStyle name="Neutral 4 16" xfId="3601"/>
    <cellStyle name="Neutral 4 17" xfId="3602"/>
    <cellStyle name="Neutral 4 18" xfId="3603"/>
    <cellStyle name="Neutral 4 19" xfId="3604"/>
    <cellStyle name="Neutral 4 2" xfId="3605"/>
    <cellStyle name="Neutral 4 20" xfId="3606"/>
    <cellStyle name="Neutral 4 21" xfId="3607"/>
    <cellStyle name="Neutral 4 3" xfId="3608"/>
    <cellStyle name="Neutral 4 4" xfId="3609"/>
    <cellStyle name="Neutral 4 5" xfId="3610"/>
    <cellStyle name="Neutral 4 6" xfId="3611"/>
    <cellStyle name="Neutral 4 7" xfId="3612"/>
    <cellStyle name="Neutral 4 8" xfId="3613"/>
    <cellStyle name="Neutral 4 9" xfId="3614"/>
    <cellStyle name="Neutral 5" xfId="3615"/>
    <cellStyle name="Neutral 6" xfId="3616"/>
    <cellStyle name="Neutral 7" xfId="3617"/>
    <cellStyle name="Neutral 8" xfId="3618"/>
    <cellStyle name="Neutral 9" xfId="3619"/>
    <cellStyle name="Neutralno 2" xfId="3620"/>
    <cellStyle name="Neutralno 3" xfId="3621"/>
    <cellStyle name="Neutralno 3 2" xfId="3622"/>
    <cellStyle name="Neutre" xfId="3623"/>
    <cellStyle name="Nevtralno" xfId="3624"/>
    <cellStyle name="Normal" xfId="0" builtinId="0"/>
    <cellStyle name="Normal - Style1" xfId="3625"/>
    <cellStyle name="Normal 10" xfId="90"/>
    <cellStyle name="Normal 10 10" xfId="92"/>
    <cellStyle name="Normal 10 11" xfId="3627"/>
    <cellStyle name="Normal 10 12" xfId="3628"/>
    <cellStyle name="Normal 10 13" xfId="3629"/>
    <cellStyle name="Normal 10 14" xfId="3630"/>
    <cellStyle name="Normal 10 15" xfId="3631"/>
    <cellStyle name="Normal 10 16" xfId="3632"/>
    <cellStyle name="Normal 10 17" xfId="3633"/>
    <cellStyle name="Normal 10 18" xfId="3634"/>
    <cellStyle name="Normal 10 19" xfId="3626"/>
    <cellStyle name="Normal 10 2" xfId="358"/>
    <cellStyle name="Normal 10 2 10" xfId="389"/>
    <cellStyle name="Normal 10 2 2" xfId="391"/>
    <cellStyle name="Normal 10 2 2 3" xfId="387"/>
    <cellStyle name="Normal 10 2 30" xfId="152"/>
    <cellStyle name="Normal 10 3" xfId="3635"/>
    <cellStyle name="Normal 10 3 2" xfId="3636"/>
    <cellStyle name="Normal 10 4" xfId="3637"/>
    <cellStyle name="Normal 10 4 2" xfId="3638"/>
    <cellStyle name="Normal 10 5" xfId="3639"/>
    <cellStyle name="Normal 10 6" xfId="3640"/>
    <cellStyle name="Normal 10 7" xfId="3641"/>
    <cellStyle name="Normal 10 8" xfId="3642"/>
    <cellStyle name="Normal 10 9" xfId="3643"/>
    <cellStyle name="Normal 103" xfId="94"/>
    <cellStyle name="Normal 11" xfId="89"/>
    <cellStyle name="Normal 11 10" xfId="3645"/>
    <cellStyle name="Normal 11 11" xfId="3646"/>
    <cellStyle name="Normal 11 12" xfId="3644"/>
    <cellStyle name="Normal 11 13" xfId="359"/>
    <cellStyle name="Normal 11 2" xfId="3647"/>
    <cellStyle name="Normal 11 2 2" xfId="67"/>
    <cellStyle name="Normal 11 3" xfId="3648"/>
    <cellStyle name="Normal 11 31" xfId="4893"/>
    <cellStyle name="Normal 11 32" xfId="4894"/>
    <cellStyle name="Normal 11 4" xfId="3649"/>
    <cellStyle name="Normal 11 5" xfId="3650"/>
    <cellStyle name="Normal 11 6" xfId="3651"/>
    <cellStyle name="Normal 11 7" xfId="3652"/>
    <cellStyle name="Normal 11 8" xfId="3653"/>
    <cellStyle name="Normal 11 9" xfId="3654"/>
    <cellStyle name="Normal 114" xfId="95"/>
    <cellStyle name="Normal 12" xfId="3655"/>
    <cellStyle name="Normal 12 10" xfId="3656"/>
    <cellStyle name="Normal 12 11" xfId="3657"/>
    <cellStyle name="Normal 12 12" xfId="3658"/>
    <cellStyle name="Normal 12 13" xfId="3659"/>
    <cellStyle name="Normal 12 14" xfId="3660"/>
    <cellStyle name="Normal 12 15" xfId="3661"/>
    <cellStyle name="Normal 12 16" xfId="3662"/>
    <cellStyle name="Normal 12 17" xfId="3663"/>
    <cellStyle name="Normal 12 18" xfId="3664"/>
    <cellStyle name="Normal 12 19" xfId="3665"/>
    <cellStyle name="Normal 12 2" xfId="3666"/>
    <cellStyle name="Normal 12 20" xfId="3667"/>
    <cellStyle name="Normal 12 3" xfId="3668"/>
    <cellStyle name="Normal 12 4" xfId="3669"/>
    <cellStyle name="Normal 12 5" xfId="3670"/>
    <cellStyle name="Normal 12 6" xfId="3671"/>
    <cellStyle name="Normal 12 6 2" xfId="3672"/>
    <cellStyle name="Normal 12 7" xfId="3673"/>
    <cellStyle name="Normal 12 8" xfId="3674"/>
    <cellStyle name="Normal 12 9" xfId="3675"/>
    <cellStyle name="Normal 13" xfId="380"/>
    <cellStyle name="Normal 13 2" xfId="3677"/>
    <cellStyle name="Normal 13 2 2" xfId="153"/>
    <cellStyle name="Normal 13 2 6" xfId="382"/>
    <cellStyle name="Normal 13 3" xfId="3678"/>
    <cellStyle name="Normal 13 4" xfId="3679"/>
    <cellStyle name="Normal 13 5" xfId="3676"/>
    <cellStyle name="Normal 14" xfId="154"/>
    <cellStyle name="Normal 14 2" xfId="309"/>
    <cellStyle name="Normal 14 2 2" xfId="3681"/>
    <cellStyle name="Normal 14 3" xfId="259"/>
    <cellStyle name="Normal 14 4" xfId="3680"/>
    <cellStyle name="Normal 15" xfId="3682"/>
    <cellStyle name="Normal 15 2" xfId="3683"/>
    <cellStyle name="Normal 15 3" xfId="3684"/>
    <cellStyle name="Normal 16" xfId="3685"/>
    <cellStyle name="Normal 16 10" xfId="3686"/>
    <cellStyle name="Normal 16 11" xfId="3687"/>
    <cellStyle name="Normal 16 12" xfId="3688"/>
    <cellStyle name="Normal 16 13" xfId="3689"/>
    <cellStyle name="Normal 16 14" xfId="3690"/>
    <cellStyle name="Normal 16 15" xfId="3691"/>
    <cellStyle name="Normal 16 16" xfId="3692"/>
    <cellStyle name="Normal 16 2" xfId="3693"/>
    <cellStyle name="Normal 16 3" xfId="3694"/>
    <cellStyle name="Normal 16 4" xfId="3695"/>
    <cellStyle name="Normal 16 5" xfId="3696"/>
    <cellStyle name="Normal 16 6" xfId="3697"/>
    <cellStyle name="Normal 16 7" xfId="3698"/>
    <cellStyle name="Normal 16 8" xfId="3699"/>
    <cellStyle name="Normal 16 9" xfId="3700"/>
    <cellStyle name="Normal 16_elektroinstalacije" xfId="3701"/>
    <cellStyle name="Normal 17" xfId="378"/>
    <cellStyle name="Normal 17 2" xfId="3703"/>
    <cellStyle name="Normal 17 2 2" xfId="155"/>
    <cellStyle name="Normal 17 2 2 2" xfId="99"/>
    <cellStyle name="Normal 17 2 2 2 2" xfId="310"/>
    <cellStyle name="Normal 17 2 2 3" xfId="260"/>
    <cellStyle name="Normal 17 2 2 4" xfId="4884"/>
    <cellStyle name="Normal 17 3" xfId="3704"/>
    <cellStyle name="Normal 17 4" xfId="3702"/>
    <cellStyle name="Normal 18" xfId="3705"/>
    <cellStyle name="Normal 18 2" xfId="3706"/>
    <cellStyle name="Normal 18 3" xfId="3707"/>
    <cellStyle name="Normal 18 3 2" xfId="111"/>
    <cellStyle name="Normal 19" xfId="3708"/>
    <cellStyle name="Normal 19 10 2" xfId="156"/>
    <cellStyle name="Normal 19 2" xfId="3709"/>
    <cellStyle name="Normal 19 2 2" xfId="112"/>
    <cellStyle name="Normal 19 2 2 2" xfId="3710"/>
    <cellStyle name="Normal 19_elektroinstalacije" xfId="3711"/>
    <cellStyle name="Normal 197 2" xfId="4892"/>
    <cellStyle name="Normal 2" xfId="1"/>
    <cellStyle name="Normal 2 10" xfId="72"/>
    <cellStyle name="Normal 2 10 2" xfId="159"/>
    <cellStyle name="Normal 2 10 3" xfId="312"/>
    <cellStyle name="Normal 2 10 3 2" xfId="3712"/>
    <cellStyle name="Normal 2 10 3 3" xfId="4881"/>
    <cellStyle name="Normal 2 10 4" xfId="262"/>
    <cellStyle name="Normal 2 10 4 2" xfId="3713"/>
    <cellStyle name="Normal 2 10 5" xfId="158"/>
    <cellStyle name="Normal 2 10_BURE COMMERCE" xfId="3714"/>
    <cellStyle name="Normal 2 11" xfId="234"/>
    <cellStyle name="Normal 2 11 2" xfId="420"/>
    <cellStyle name="Normal 2 11 2 2" xfId="3716"/>
    <cellStyle name="Normal 2 11 3" xfId="3717"/>
    <cellStyle name="Normal 2 11 4" xfId="3718"/>
    <cellStyle name="Normal 2 11 5" xfId="3715"/>
    <cellStyle name="Normal 2 11_BURE COMMERCE" xfId="3719"/>
    <cellStyle name="Normal 2 12" xfId="311"/>
    <cellStyle name="Normal 2 12 2" xfId="3721"/>
    <cellStyle name="Normal 2 12 3" xfId="3722"/>
    <cellStyle name="Normal 2 12 4" xfId="3723"/>
    <cellStyle name="Normal 2 12 5" xfId="3720"/>
    <cellStyle name="Normal 2 12_BURE COMMERCE" xfId="3724"/>
    <cellStyle name="Normal 2 13" xfId="261"/>
    <cellStyle name="Normal 2 13 2" xfId="3726"/>
    <cellStyle name="Normal 2 13 3" xfId="3727"/>
    <cellStyle name="Normal 2 13 4" xfId="3725"/>
    <cellStyle name="Normal 2 13_BURE COMMERCE" xfId="3728"/>
    <cellStyle name="Normal 2 14" xfId="3729"/>
    <cellStyle name="Normal 2 14 2" xfId="3730"/>
    <cellStyle name="Normal 2 15" xfId="3731"/>
    <cellStyle name="Normal 2 15 2" xfId="3732"/>
    <cellStyle name="Normal 2 16" xfId="3733"/>
    <cellStyle name="Normal 2 16 19" xfId="106"/>
    <cellStyle name="Normal 2 16 2" xfId="3734"/>
    <cellStyle name="Normal 2 17" xfId="3735"/>
    <cellStyle name="Normal 2 18" xfId="3736"/>
    <cellStyle name="Normal 2 19" xfId="3737"/>
    <cellStyle name="Normal 2 2" xfId="45"/>
    <cellStyle name="Normal 2 2 2" xfId="47"/>
    <cellStyle name="Normal 2 2 2 2" xfId="56"/>
    <cellStyle name="Normal 2 2 2 2 2" xfId="85"/>
    <cellStyle name="Normal 2 2 2 2 2 2" xfId="316"/>
    <cellStyle name="Normal 2 2 2 2 2 3" xfId="266"/>
    <cellStyle name="Normal 2 2 2 2 2 4" xfId="163"/>
    <cellStyle name="Normal 2 2 2 2 3" xfId="315"/>
    <cellStyle name="Normal 2 2 2 2 4" xfId="396"/>
    <cellStyle name="Normal 2 2 2 2 5" xfId="265"/>
    <cellStyle name="Normal 2 2 2 2 6" xfId="162"/>
    <cellStyle name="Normal 2 2 2 3" xfId="77"/>
    <cellStyle name="Normal 2 2 2 3 2" xfId="317"/>
    <cellStyle name="Normal 2 2 2 3 3" xfId="267"/>
    <cellStyle name="Normal 2 2 2 3 4" xfId="164"/>
    <cellStyle name="Normal 2 2 2 4" xfId="314"/>
    <cellStyle name="Normal 2 2 2 5" xfId="264"/>
    <cellStyle name="Normal 2 2 2 6" xfId="161"/>
    <cellStyle name="Normal 2 2 3" xfId="54"/>
    <cellStyle name="Normal 2 2 3 2" xfId="83"/>
    <cellStyle name="Normal 2 2 3 2 2" xfId="319"/>
    <cellStyle name="Normal 2 2 3 2 3" xfId="269"/>
    <cellStyle name="Normal 2 2 3 2 4" xfId="4867"/>
    <cellStyle name="Normal 2 2 3 2 5" xfId="166"/>
    <cellStyle name="Normal 2 2 3 3" xfId="318"/>
    <cellStyle name="Normal 2 2 3 4" xfId="268"/>
    <cellStyle name="Normal 2 2 3 5" xfId="3738"/>
    <cellStyle name="Normal 2 2 3 6" xfId="165"/>
    <cellStyle name="Normal 2 2 4" xfId="61"/>
    <cellStyle name="Normal 2 2 4 2" xfId="75"/>
    <cellStyle name="Normal 2 2 4 2 2" xfId="321"/>
    <cellStyle name="Normal 2 2 4 2 3" xfId="271"/>
    <cellStyle name="Normal 2 2 4 2 4" xfId="168"/>
    <cellStyle name="Normal 2 2 4 3" xfId="320"/>
    <cellStyle name="Normal 2 2 4 4" xfId="270"/>
    <cellStyle name="Normal 2 2 4 5" xfId="3739"/>
    <cellStyle name="Normal 2 2 4 6" xfId="167"/>
    <cellStyle name="Normal 2 2 5" xfId="73"/>
    <cellStyle name="Normal 2 2 5 2" xfId="322"/>
    <cellStyle name="Normal 2 2 5 3" xfId="272"/>
    <cellStyle name="Normal 2 2 5 4" xfId="3740"/>
    <cellStyle name="Normal 2 2 5 5" xfId="169"/>
    <cellStyle name="Normal 2 2 6" xfId="103"/>
    <cellStyle name="Normal 2 2 6 2" xfId="3741"/>
    <cellStyle name="Normal 2 2 6 3" xfId="4879"/>
    <cellStyle name="Normal 2 2 6 4" xfId="313"/>
    <cellStyle name="Normal 2 2 7" xfId="114"/>
    <cellStyle name="Normal 2 2 7 2" xfId="360"/>
    <cellStyle name="Normal 2 2 8" xfId="263"/>
    <cellStyle name="Normal 2 2 9" xfId="160"/>
    <cellStyle name="Normal 2 2_123_IZ_troskovnik_rasvjeta_120320_telektra" xfId="3742"/>
    <cellStyle name="Normal 2 20" xfId="3743"/>
    <cellStyle name="Normal 2 21" xfId="3744"/>
    <cellStyle name="Normal 2 22" xfId="3745"/>
    <cellStyle name="Normal 2 23" xfId="3746"/>
    <cellStyle name="Normal 2 24" xfId="3747"/>
    <cellStyle name="Normal 2 25" xfId="3748"/>
    <cellStyle name="Normal 2 26" xfId="3749"/>
    <cellStyle name="Normal 2 27" xfId="3750"/>
    <cellStyle name="Normal 2 28" xfId="3751"/>
    <cellStyle name="Normal 2 29" xfId="3752"/>
    <cellStyle name="Normal 2 3" xfId="48"/>
    <cellStyle name="Normal 2 3 2" xfId="57"/>
    <cellStyle name="Normal 2 3 2 2" xfId="86"/>
    <cellStyle name="Normal 2 3 2 2 2" xfId="325"/>
    <cellStyle name="Normal 2 3 2 2 3" xfId="275"/>
    <cellStyle name="Normal 2 3 2 2 4" xfId="172"/>
    <cellStyle name="Normal 2 3 2 3" xfId="324"/>
    <cellStyle name="Normal 2 3 2 4" xfId="274"/>
    <cellStyle name="Normal 2 3 2 5" xfId="3754"/>
    <cellStyle name="Normal 2 3 2 6" xfId="171"/>
    <cellStyle name="Normal 2 3 3" xfId="78"/>
    <cellStyle name="Normal 2 3 3 2" xfId="326"/>
    <cellStyle name="Normal 2 3 3 3" xfId="276"/>
    <cellStyle name="Normal 2 3 3 4" xfId="3755"/>
    <cellStyle name="Normal 2 3 3 5" xfId="173"/>
    <cellStyle name="Normal 2 3 4" xfId="323"/>
    <cellStyle name="Normal 2 3 4 2" xfId="3756"/>
    <cellStyle name="Normal 2 3 5" xfId="273"/>
    <cellStyle name="Normal 2 3 6" xfId="3753"/>
    <cellStyle name="Normal 2 3 7" xfId="170"/>
    <cellStyle name="Normal 2 3_BURE COMMERCE" xfId="3757"/>
    <cellStyle name="Normal 2 30" xfId="3758"/>
    <cellStyle name="Normal 2 31" xfId="3759"/>
    <cellStyle name="Normal 2 32" xfId="3760"/>
    <cellStyle name="Normal 2 33" xfId="3761"/>
    <cellStyle name="Normal 2 34" xfId="3762"/>
    <cellStyle name="Normal 2 35" xfId="3763"/>
    <cellStyle name="Normal 2 36" xfId="3764"/>
    <cellStyle name="Normal 2 37" xfId="3765"/>
    <cellStyle name="Normal 2 38" xfId="4885"/>
    <cellStyle name="Normal 2 39" xfId="4887"/>
    <cellStyle name="Normal 2 4" xfId="46"/>
    <cellStyle name="Normal 2 4 2" xfId="55"/>
    <cellStyle name="Normal 2 4 2 2" xfId="84"/>
    <cellStyle name="Normal 2 4 2 2 2" xfId="329"/>
    <cellStyle name="Normal 2 4 2 2 2 2" xfId="4868"/>
    <cellStyle name="Normal 2 4 2 2 3" xfId="279"/>
    <cellStyle name="Normal 2 4 2 2 4" xfId="176"/>
    <cellStyle name="Normal 2 4 2 3" xfId="328"/>
    <cellStyle name="Normal 2 4 2 4" xfId="278"/>
    <cellStyle name="Normal 2 4 2 5" xfId="3767"/>
    <cellStyle name="Normal 2 4 2 6" xfId="4898"/>
    <cellStyle name="Normal 2 4 2 7" xfId="175"/>
    <cellStyle name="Normal 2 4 3" xfId="76"/>
    <cellStyle name="Normal 2 4 3 2" xfId="330"/>
    <cellStyle name="Normal 2 4 3 3" xfId="280"/>
    <cellStyle name="Normal 2 4 3 4" xfId="3768"/>
    <cellStyle name="Normal 2 4 3 5" xfId="177"/>
    <cellStyle name="Normal 2 4 4" xfId="327"/>
    <cellStyle name="Normal 2 4 4 2" xfId="3769"/>
    <cellStyle name="Normal 2 4 5" xfId="277"/>
    <cellStyle name="Normal 2 4 6" xfId="3766"/>
    <cellStyle name="Normal 2 4 7" xfId="174"/>
    <cellStyle name="Normal 2 4_BURE COMMERCE" xfId="3770"/>
    <cellStyle name="Normal 2 40" xfId="4899"/>
    <cellStyle name="Normal 2 41" xfId="157"/>
    <cellStyle name="Normal 2 42" xfId="98"/>
    <cellStyle name="Normal 2 5" xfId="49"/>
    <cellStyle name="Normal 2 5 2" xfId="58"/>
    <cellStyle name="Normal 2 5 2 2" xfId="87"/>
    <cellStyle name="Normal 2 5 2 2 2" xfId="333"/>
    <cellStyle name="Normal 2 5 2 2 3" xfId="283"/>
    <cellStyle name="Normal 2 5 2 2 4" xfId="180"/>
    <cellStyle name="Normal 2 5 2 3" xfId="332"/>
    <cellStyle name="Normal 2 5 2 4" xfId="282"/>
    <cellStyle name="Normal 2 5 2 5" xfId="3772"/>
    <cellStyle name="Normal 2 5 2 6" xfId="179"/>
    <cellStyle name="Normal 2 5 3" xfId="79"/>
    <cellStyle name="Normal 2 5 3 2" xfId="334"/>
    <cellStyle name="Normal 2 5 3 2 2" xfId="3774"/>
    <cellStyle name="Normal 2 5 3 3" xfId="284"/>
    <cellStyle name="Normal 2 5 3 4" xfId="3773"/>
    <cellStyle name="Normal 2 5 3 5" xfId="181"/>
    <cellStyle name="Normal 2 5 4" xfId="331"/>
    <cellStyle name="Normal 2 5 4 2" xfId="3775"/>
    <cellStyle name="Normal 2 5 5" xfId="281"/>
    <cellStyle name="Normal 2 5 6" xfId="3771"/>
    <cellStyle name="Normal 2 5 7" xfId="178"/>
    <cellStyle name="Normal 2 5_123_IZ_troskovnik_rasvjeta_120320_telektra" xfId="3776"/>
    <cellStyle name="Normal 2 53" xfId="385"/>
    <cellStyle name="Normal 2 6" xfId="50"/>
    <cellStyle name="Normal 2 6 2" xfId="59"/>
    <cellStyle name="Normal 2 6 2 2" xfId="88"/>
    <cellStyle name="Normal 2 6 2 2 2" xfId="337"/>
    <cellStyle name="Normal 2 6 2 2 3" xfId="287"/>
    <cellStyle name="Normal 2 6 2 2 4" xfId="184"/>
    <cellStyle name="Normal 2 6 2 3" xfId="336"/>
    <cellStyle name="Normal 2 6 2 4" xfId="286"/>
    <cellStyle name="Normal 2 6 2 5" xfId="3777"/>
    <cellStyle name="Normal 2 6 2 6" xfId="183"/>
    <cellStyle name="Normal 2 6 3" xfId="80"/>
    <cellStyle name="Normal 2 6 3 2" xfId="338"/>
    <cellStyle name="Normal 2 6 3 3" xfId="288"/>
    <cellStyle name="Normal 2 6 3 4" xfId="3778"/>
    <cellStyle name="Normal 2 6 3 5" xfId="185"/>
    <cellStyle name="Normal 2 6 4" xfId="121"/>
    <cellStyle name="Normal 2 6 4 2" xfId="3779"/>
    <cellStyle name="Normal 2 6 4 3" xfId="335"/>
    <cellStyle name="Normal 2 6 5" xfId="394"/>
    <cellStyle name="Normal 2 6 5 2" xfId="3780"/>
    <cellStyle name="Normal 2 6 6" xfId="285"/>
    <cellStyle name="Normal 2 6 7" xfId="182"/>
    <cellStyle name="Normal 2 6_BURE COMMERCE" xfId="3781"/>
    <cellStyle name="Normal 2 7" xfId="53"/>
    <cellStyle name="Normal 2 7 2" xfId="82"/>
    <cellStyle name="Normal 2 7 2 2" xfId="340"/>
    <cellStyle name="Normal 2 7 2 3" xfId="290"/>
    <cellStyle name="Normal 2 7 2 4" xfId="3783"/>
    <cellStyle name="Normal 2 7 2 5" xfId="187"/>
    <cellStyle name="Normal 2 7 3" xfId="339"/>
    <cellStyle name="Normal 2 7 3 2" xfId="3784"/>
    <cellStyle name="Normal 2 7 4" xfId="289"/>
    <cellStyle name="Normal 2 7 4 2" xfId="3785"/>
    <cellStyle name="Normal 2 7 5" xfId="3782"/>
    <cellStyle name="Normal 2 7 6" xfId="186"/>
    <cellStyle name="Normal 2 7_BURE COMMERCE" xfId="3786"/>
    <cellStyle name="Normal 2 8" xfId="52"/>
    <cellStyle name="Normal 2 8 2" xfId="81"/>
    <cellStyle name="Normal 2 8 2 2" xfId="342"/>
    <cellStyle name="Normal 2 8 2 3" xfId="292"/>
    <cellStyle name="Normal 2 8 2 4" xfId="3788"/>
    <cellStyle name="Normal 2 8 2 5" xfId="189"/>
    <cellStyle name="Normal 2 8 3" xfId="341"/>
    <cellStyle name="Normal 2 8 3 2" xfId="3789"/>
    <cellStyle name="Normal 2 8 4" xfId="291"/>
    <cellStyle name="Normal 2 8 4 2" xfId="3790"/>
    <cellStyle name="Normal 2 8 5" xfId="3787"/>
    <cellStyle name="Normal 2 8 6" xfId="188"/>
    <cellStyle name="Normal 2 8_BURE COMMERCE" xfId="3791"/>
    <cellStyle name="Normal 2 9" xfId="60"/>
    <cellStyle name="Normal 2 9 2" xfId="74"/>
    <cellStyle name="Normal 2 9 2 2" xfId="344"/>
    <cellStyle name="Normal 2 9 2 3" xfId="294"/>
    <cellStyle name="Normal 2 9 2 4" xfId="3793"/>
    <cellStyle name="Normal 2 9 2 5" xfId="191"/>
    <cellStyle name="Normal 2 9 3" xfId="343"/>
    <cellStyle name="Normal 2 9 3 2" xfId="3794"/>
    <cellStyle name="Normal 2 9 4" xfId="293"/>
    <cellStyle name="Normal 2 9 4 2" xfId="3795"/>
    <cellStyle name="Normal 2 9 5" xfId="3792"/>
    <cellStyle name="Normal 2 9 6" xfId="190"/>
    <cellStyle name="Normal 2 9_BURE COMMERCE" xfId="3796"/>
    <cellStyle name="Normal 2_02_FPZ_borongaj_69 -TENDER_TROŠKOVNIK_ELEKTRO_FAZA_1U_L" xfId="3797"/>
    <cellStyle name="Normal 20" xfId="3798"/>
    <cellStyle name="Normal 20 10" xfId="109"/>
    <cellStyle name="Normal 20 10 2" xfId="3799"/>
    <cellStyle name="Normal 20 2" xfId="110"/>
    <cellStyle name="Normal 20 2 2" xfId="3800"/>
    <cellStyle name="Normal 20 36" xfId="392"/>
    <cellStyle name="Normal 20_elektroinstalacije" xfId="3801"/>
    <cellStyle name="Normal 21" xfId="3802"/>
    <cellStyle name="Normal 21 2" xfId="3803"/>
    <cellStyle name="Normal 22" xfId="3804"/>
    <cellStyle name="Normal 22 2" xfId="3805"/>
    <cellStyle name="Normal 23" xfId="3806"/>
    <cellStyle name="Normal 23 2" xfId="3807"/>
    <cellStyle name="Normal 24" xfId="3808"/>
    <cellStyle name="Normal 24 2" xfId="3809"/>
    <cellStyle name="Normal 24 3" xfId="3810"/>
    <cellStyle name="Normal 25" xfId="361"/>
    <cellStyle name="Normal 25 2" xfId="3812"/>
    <cellStyle name="Normal 25 3" xfId="3813"/>
    <cellStyle name="Normal 25 4" xfId="3814"/>
    <cellStyle name="Normal 25 5" xfId="3811"/>
    <cellStyle name="Normal 26" xfId="108"/>
    <cellStyle name="Normal 26 10" xfId="116"/>
    <cellStyle name="Normal 26 2" xfId="3815"/>
    <cellStyle name="Normal 27" xfId="107"/>
    <cellStyle name="Normal 27 2" xfId="3816"/>
    <cellStyle name="Normal 28" xfId="113"/>
    <cellStyle name="Normal 28 2" xfId="3817"/>
    <cellStyle name="Normal 29" xfId="3818"/>
    <cellStyle name="Normal 29 2" xfId="3819"/>
    <cellStyle name="Normal 3" xfId="44"/>
    <cellStyle name="Normal 3 10" xfId="3820"/>
    <cellStyle name="Normal 3 10 2" xfId="3821"/>
    <cellStyle name="Normal 3 10 2 3" xfId="377"/>
    <cellStyle name="Normal 3 10 3" xfId="3822"/>
    <cellStyle name="Normal 3 10_BURE COMMERCE" xfId="3823"/>
    <cellStyle name="Normal 3 11" xfId="3824"/>
    <cellStyle name="Normal 3 11 2" xfId="3825"/>
    <cellStyle name="Normal 3 11 3" xfId="3826"/>
    <cellStyle name="Normal 3 11_BURE COMMERCE" xfId="3827"/>
    <cellStyle name="Normal 3 12" xfId="3828"/>
    <cellStyle name="Normal 3 12 2" xfId="3829"/>
    <cellStyle name="Normal 3 12 3" xfId="3830"/>
    <cellStyle name="Normal 3 12_BURE COMMERCE" xfId="3831"/>
    <cellStyle name="Normal 3 13" xfId="3832"/>
    <cellStyle name="Normal 3 13 2" xfId="3833"/>
    <cellStyle name="Normal 3 13 3" xfId="3834"/>
    <cellStyle name="Normal 3 13_BURE COMMERCE" xfId="3835"/>
    <cellStyle name="Normal 3 14" xfId="3836"/>
    <cellStyle name="Normal 3 15" xfId="3837"/>
    <cellStyle name="Normal 3 15 2" xfId="3838"/>
    <cellStyle name="Normal 3 16" xfId="3839"/>
    <cellStyle name="Normal 3 17" xfId="3840"/>
    <cellStyle name="Normal 3 18" xfId="3841"/>
    <cellStyle name="Normal 3 19" xfId="3842"/>
    <cellStyle name="Normal 3 2" xfId="235"/>
    <cellStyle name="Normal 3 2 2" xfId="3844"/>
    <cellStyle name="Normal 3 2 2 2" xfId="3845"/>
    <cellStyle name="Normal 3 2 3" xfId="3846"/>
    <cellStyle name="Normal 3 2 31" xfId="383"/>
    <cellStyle name="Normal 3 2 4" xfId="3847"/>
    <cellStyle name="Normal 3 2 5" xfId="3843"/>
    <cellStyle name="Normal 3 2 6" xfId="4882"/>
    <cellStyle name="Normal 3 2_BURE COMMERCE" xfId="3848"/>
    <cellStyle name="Normal 3 20" xfId="3849"/>
    <cellStyle name="Normal 3 21" xfId="3850"/>
    <cellStyle name="Normal 3 22" xfId="3851"/>
    <cellStyle name="Normal 3 23" xfId="3852"/>
    <cellStyle name="Normal 3 24" xfId="3853"/>
    <cellStyle name="Normal 3 25" xfId="3854"/>
    <cellStyle name="Normal 3 26" xfId="3855"/>
    <cellStyle name="Normal 3 27" xfId="3856"/>
    <cellStyle name="Normal 3 28" xfId="3857"/>
    <cellStyle name="Normal 3 29" xfId="3858"/>
    <cellStyle name="Normal 3 3" xfId="363"/>
    <cellStyle name="Normal 3 3 2" xfId="364"/>
    <cellStyle name="Normal 3 3 2 2" xfId="3861"/>
    <cellStyle name="Normal 3 3 2 3" xfId="3862"/>
    <cellStyle name="Normal 3 3 2 4" xfId="3860"/>
    <cellStyle name="Normal 3 3 3" xfId="3863"/>
    <cellStyle name="Normal 3 3 4" xfId="3864"/>
    <cellStyle name="Normal 3 3 5" xfId="3859"/>
    <cellStyle name="Normal 3 3_BURE COMMERCE" xfId="3865"/>
    <cellStyle name="Normal 3 30" xfId="3866"/>
    <cellStyle name="Normal 3 31" xfId="3867"/>
    <cellStyle name="Normal 3 32" xfId="3868"/>
    <cellStyle name="Normal 3 32 2" xfId="384"/>
    <cellStyle name="Normal 3 33" xfId="3869"/>
    <cellStyle name="Normal 3 34" xfId="3870"/>
    <cellStyle name="Normal 3 35" xfId="3871"/>
    <cellStyle name="Normal 3 36" xfId="3872"/>
    <cellStyle name="Normal 3 37" xfId="3873"/>
    <cellStyle name="Normal 3 38" xfId="3874"/>
    <cellStyle name="Normal 3 39" xfId="3875"/>
    <cellStyle name="Normal 3 4" xfId="362"/>
    <cellStyle name="Normal 3 4 2" xfId="3877"/>
    <cellStyle name="Normal 3 4 3" xfId="3878"/>
    <cellStyle name="Normal 3 4 4" xfId="3879"/>
    <cellStyle name="Normal 3 4 5" xfId="3880"/>
    <cellStyle name="Normal 3 4 6" xfId="3876"/>
    <cellStyle name="Normal 3 4_BURE COMMERCE" xfId="3881"/>
    <cellStyle name="Normal 3 40" xfId="4869"/>
    <cellStyle name="Normal 3 41" xfId="4889"/>
    <cellStyle name="Normal 3 42" xfId="4900"/>
    <cellStyle name="Normal 3 5" xfId="3882"/>
    <cellStyle name="Normal 3 5 2" xfId="3883"/>
    <cellStyle name="Normal 3 5 3" xfId="3884"/>
    <cellStyle name="Normal 3 5 4" xfId="3885"/>
    <cellStyle name="Normal 3 5_BURE COMMERCE" xfId="3886"/>
    <cellStyle name="Normal 3 6" xfId="3887"/>
    <cellStyle name="Normal 3 6 2" xfId="3888"/>
    <cellStyle name="Normal 3 6 3" xfId="3889"/>
    <cellStyle name="Normal 3 6 4" xfId="3890"/>
    <cellStyle name="Normal 3 6_BURE COMMERCE" xfId="3891"/>
    <cellStyle name="Normal 3 7" xfId="3892"/>
    <cellStyle name="Normal 3 7 2" xfId="3893"/>
    <cellStyle name="Normal 3 7 3" xfId="3894"/>
    <cellStyle name="Normal 3 7_BURE COMMERCE" xfId="3895"/>
    <cellStyle name="Normal 3 8" xfId="3896"/>
    <cellStyle name="Normal 3 8 2" xfId="3897"/>
    <cellStyle name="Normal 3 8 3" xfId="3898"/>
    <cellStyle name="Normal 3 8_BURE COMMERCE" xfId="3899"/>
    <cellStyle name="Normal 3 9" xfId="3900"/>
    <cellStyle name="Normal 3 9 2" xfId="3901"/>
    <cellStyle name="Normal 3 9 3" xfId="3902"/>
    <cellStyle name="Normal 3 9_BURE COMMERCE" xfId="3903"/>
    <cellStyle name="Normal 3_BKA_TR_BAUMAX-X_091221" xfId="3904"/>
    <cellStyle name="Normal 30" xfId="3905"/>
    <cellStyle name="Normal 30 2" xfId="3906"/>
    <cellStyle name="Normal 31" xfId="3907"/>
    <cellStyle name="Normal 31 2" xfId="3908"/>
    <cellStyle name="Normal 31 3" xfId="3909"/>
    <cellStyle name="Normal 32" xfId="3910"/>
    <cellStyle name="Normal 32 2" xfId="3911"/>
    <cellStyle name="Normal 32 3" xfId="3912"/>
    <cellStyle name="Normal 33" xfId="3913"/>
    <cellStyle name="Normal 33 2" xfId="3914"/>
    <cellStyle name="Normal 33 3" xfId="3915"/>
    <cellStyle name="Normal 34" xfId="3916"/>
    <cellStyle name="Normal 34 10" xfId="393"/>
    <cellStyle name="Normal 34 2" xfId="3917"/>
    <cellStyle name="Normal 35" xfId="3918"/>
    <cellStyle name="Normal 35 2" xfId="3919"/>
    <cellStyle name="Normal 36" xfId="3920"/>
    <cellStyle name="Normal 37" xfId="3921"/>
    <cellStyle name="Normal 37 2" xfId="3922"/>
    <cellStyle name="Normal 37 3" xfId="3923"/>
    <cellStyle name="Normal 37 4" xfId="3924"/>
    <cellStyle name="Normal 38" xfId="100"/>
    <cellStyle name="Normal 38 2" xfId="3925"/>
    <cellStyle name="Normal 39" xfId="3926"/>
    <cellStyle name="Normal 4" xfId="51"/>
    <cellStyle name="Normal 4 2" xfId="192"/>
    <cellStyle name="Normal 4 2 2" xfId="345"/>
    <cellStyle name="Normal 4 2 2 2" xfId="3929"/>
    <cellStyle name="Normal 4 2 3" xfId="295"/>
    <cellStyle name="Normal 4 2 4" xfId="3928"/>
    <cellStyle name="Normal 4 2 5" xfId="4883"/>
    <cellStyle name="Normal 4 3" xfId="3930"/>
    <cellStyle name="Normal 4 3 2" xfId="3931"/>
    <cellStyle name="Normal 4 4" xfId="3932"/>
    <cellStyle name="Normal 4 4 2" xfId="3933"/>
    <cellStyle name="Normal 4 5" xfId="3934"/>
    <cellStyle name="Normal 4 6" xfId="3935"/>
    <cellStyle name="Normal 4 7" xfId="3927"/>
    <cellStyle name="Normal 4 8" xfId="4890"/>
    <cellStyle name="Normal 4_elektroinstalacije" xfId="3936"/>
    <cellStyle name="Normal 40" xfId="3937"/>
    <cellStyle name="Normal 40 17" xfId="117"/>
    <cellStyle name="Normal 41" xfId="3938"/>
    <cellStyle name="Normal 42" xfId="3939"/>
    <cellStyle name="Normal 43" xfId="3940"/>
    <cellStyle name="Normal 44" xfId="3941"/>
    <cellStyle name="Normal 45" xfId="3942"/>
    <cellStyle name="Normal 45 10" xfId="115"/>
    <cellStyle name="Normal 46" xfId="3943"/>
    <cellStyle name="Normal 47" xfId="119"/>
    <cellStyle name="Normal 47 2" xfId="3944"/>
    <cellStyle name="Normal 48" xfId="3945"/>
    <cellStyle name="Normal 48 2" xfId="3946"/>
    <cellStyle name="Normal 49" xfId="395"/>
    <cellStyle name="Normal 49 2" xfId="3947"/>
    <cellStyle name="Normal 5" xfId="66"/>
    <cellStyle name="Normal 5 10" xfId="63"/>
    <cellStyle name="Normal 5 11" xfId="3948"/>
    <cellStyle name="Normal 5 12" xfId="3949"/>
    <cellStyle name="Normal 5 13" xfId="3950"/>
    <cellStyle name="Normal 5 14" xfId="3951"/>
    <cellStyle name="Normal 5 15" xfId="4870"/>
    <cellStyle name="Normal 5 16" xfId="4897"/>
    <cellStyle name="Normal 5 2" xfId="365"/>
    <cellStyle name="Normal 5 2 2" xfId="366"/>
    <cellStyle name="Normal 5 2 3" xfId="367"/>
    <cellStyle name="Normal 5 2 3 2" xfId="368"/>
    <cellStyle name="Normal 5 2 4" xfId="3952"/>
    <cellStyle name="Normal 5 3" xfId="3953"/>
    <cellStyle name="Normal 5 4" xfId="3954"/>
    <cellStyle name="Normal 5 5" xfId="3955"/>
    <cellStyle name="Normal 5 6" xfId="3956"/>
    <cellStyle name="Normal 5 7" xfId="3957"/>
    <cellStyle name="Normal 5 8" xfId="3958"/>
    <cellStyle name="Normal 5 9" xfId="3959"/>
    <cellStyle name="Normal 50" xfId="3960"/>
    <cellStyle name="Normal 51" xfId="120"/>
    <cellStyle name="Normal 51 2" xfId="3961"/>
    <cellStyle name="Normal 52" xfId="3962"/>
    <cellStyle name="Normal 53" xfId="3963"/>
    <cellStyle name="Normal 54" xfId="3964"/>
    <cellStyle name="Normal 55" xfId="3965"/>
    <cellStyle name="Normal 56" xfId="3966"/>
    <cellStyle name="Normal 57" xfId="69"/>
    <cellStyle name="Normal 58" xfId="3967"/>
    <cellStyle name="Normal 59" xfId="3968"/>
    <cellStyle name="Normal 6" xfId="68"/>
    <cellStyle name="Normal 6 10" xfId="3970"/>
    <cellStyle name="Normal 6 11" xfId="3971"/>
    <cellStyle name="Normal 6 12" xfId="3969"/>
    <cellStyle name="Normal 6 13" xfId="4872"/>
    <cellStyle name="Normal 6 14" xfId="4895"/>
    <cellStyle name="Normal 6 15" xfId="193"/>
    <cellStyle name="Normal 6 2" xfId="346"/>
    <cellStyle name="Normal 6 2 2" xfId="3973"/>
    <cellStyle name="Normal 6 2 3" xfId="3972"/>
    <cellStyle name="Normal 6 3" xfId="369"/>
    <cellStyle name="Normal 6 3 2" xfId="3974"/>
    <cellStyle name="Normal 6 4" xfId="296"/>
    <cellStyle name="Normal 6 4 2" xfId="3975"/>
    <cellStyle name="Normal 6 5" xfId="3976"/>
    <cellStyle name="Normal 6 6" xfId="3977"/>
    <cellStyle name="Normal 6 7" xfId="3978"/>
    <cellStyle name="Normal 6 8" xfId="3979"/>
    <cellStyle name="Normal 6 9" xfId="3980"/>
    <cellStyle name="Normal 6_Kopija 2012-01-19 Troskovnici-ukupni-KNJIGA 6-ISPRAVLJENO" xfId="3981"/>
    <cellStyle name="Normal 60" xfId="3982"/>
    <cellStyle name="Normal 61" xfId="3983"/>
    <cellStyle name="Normal 61 2" xfId="96"/>
    <cellStyle name="Normal 62" xfId="3984"/>
    <cellStyle name="Normal 63" xfId="3985"/>
    <cellStyle name="Normal 64" xfId="3986"/>
    <cellStyle name="Normal 65" xfId="4865"/>
    <cellStyle name="Normal 66" xfId="4886"/>
    <cellStyle name="Normal 67" xfId="4896"/>
    <cellStyle name="Normal 7" xfId="104"/>
    <cellStyle name="Normal 7 10" xfId="3987"/>
    <cellStyle name="Normal 7 11" xfId="3988"/>
    <cellStyle name="Normal 7 12" xfId="4871"/>
    <cellStyle name="Normal 7 12 2" xfId="4877"/>
    <cellStyle name="Normal 7 13" xfId="4873"/>
    <cellStyle name="Normal 7 14" xfId="4880"/>
    <cellStyle name="Normal 7 15" xfId="370"/>
    <cellStyle name="Normal 7 2" xfId="3989"/>
    <cellStyle name="Normal 7 3" xfId="3990"/>
    <cellStyle name="Normal 7 4" xfId="3991"/>
    <cellStyle name="Normal 7 5" xfId="3992"/>
    <cellStyle name="Normal 7 6" xfId="3993"/>
    <cellStyle name="Normal 7 7" xfId="3994"/>
    <cellStyle name="Normal 7 8" xfId="371"/>
    <cellStyle name="Normal 7 8 2" xfId="3995"/>
    <cellStyle name="Normal 7 9" xfId="3996"/>
    <cellStyle name="Normal 8" xfId="97"/>
    <cellStyle name="Normal 8 10" xfId="372"/>
    <cellStyle name="Normal 8 2" xfId="3998"/>
    <cellStyle name="Normal 8 3" xfId="3999"/>
    <cellStyle name="Normal 8 3 2" xfId="4000"/>
    <cellStyle name="Normal 8 4" xfId="4001"/>
    <cellStyle name="Normal 8 5" xfId="4002"/>
    <cellStyle name="Normal 8 6" xfId="4003"/>
    <cellStyle name="Normal 8 7" xfId="4004"/>
    <cellStyle name="Normal 8 8" xfId="3997"/>
    <cellStyle name="Normal 8 9" xfId="4878"/>
    <cellStyle name="Normal 8_elektroinstalacije" xfId="4005"/>
    <cellStyle name="Normal 84" xfId="4006"/>
    <cellStyle name="Normal 87" xfId="4007"/>
    <cellStyle name="Normal 87 3" xfId="388"/>
    <cellStyle name="Normal 9" xfId="93"/>
    <cellStyle name="Normal 9 10" xfId="4009"/>
    <cellStyle name="Normal 9 11" xfId="347"/>
    <cellStyle name="Normal 9 2" xfId="4010"/>
    <cellStyle name="Normal 9 3" xfId="4011"/>
    <cellStyle name="Normal 9 3 2" xfId="4012"/>
    <cellStyle name="Normal 9 4" xfId="4013"/>
    <cellStyle name="Normal 9 5" xfId="4014"/>
    <cellStyle name="Normal 9 6" xfId="4015"/>
    <cellStyle name="Normal 9 7" xfId="4016"/>
    <cellStyle name="Normal 9 8" xfId="4017"/>
    <cellStyle name="Normal 9 9" xfId="4008"/>
    <cellStyle name="Normal 9_elektroinstalacije" xfId="4018"/>
    <cellStyle name="Normal 95" xfId="4019"/>
    <cellStyle name="Normal_42-2006 Troškovnik Solar" xfId="4922"/>
    <cellStyle name="Normal_KA-DOM" xfId="4904"/>
    <cellStyle name="Normal_KALKU 3" xfId="4924"/>
    <cellStyle name="Normal_tros_TPKC_Dubrava_29_11_05 2 2" xfId="4905"/>
    <cellStyle name="Normal_TROŠKOVNIK - KAM - ŽUTO" xfId="4903"/>
    <cellStyle name="Normal1" xfId="373"/>
    <cellStyle name="Normal1 2" xfId="4020"/>
    <cellStyle name="Normal3" xfId="4021"/>
    <cellStyle name="Normale_694JAN2007-versione1-20061204" xfId="4022"/>
    <cellStyle name="Normalno 10" xfId="4901"/>
    <cellStyle name="Normalno 100" xfId="194"/>
    <cellStyle name="Normalno 100 2" xfId="195"/>
    <cellStyle name="Normalno 11" xfId="4902"/>
    <cellStyle name="Normalno 2" xfId="70"/>
    <cellStyle name="Normalno 2 2" xfId="4024"/>
    <cellStyle name="Normalno 2 3" xfId="4023"/>
    <cellStyle name="Normalno 3" xfId="386"/>
    <cellStyle name="Normalno 3 2" xfId="4026"/>
    <cellStyle name="Normalno 3 3" xfId="4027"/>
    <cellStyle name="Normalno 3 4" xfId="4025"/>
    <cellStyle name="Normalno 36" xfId="196"/>
    <cellStyle name="Normalno 36 2" xfId="197"/>
    <cellStyle name="Normalno 36 3" xfId="198"/>
    <cellStyle name="Normalno 37" xfId="199"/>
    <cellStyle name="Normalno 37 2" xfId="200"/>
    <cellStyle name="Normalno 38" xfId="201"/>
    <cellStyle name="Normalno 38 2" xfId="202"/>
    <cellStyle name="Normalno 39" xfId="203"/>
    <cellStyle name="Normalno 4" xfId="4028"/>
    <cellStyle name="Normalno 4 2" xfId="4029"/>
    <cellStyle name="Normalno 4 3" xfId="4030"/>
    <cellStyle name="Normalno 40" xfId="204"/>
    <cellStyle name="Normalno 42" xfId="205"/>
    <cellStyle name="Normalno 42 2" xfId="4906"/>
    <cellStyle name="Normalno 43" xfId="206"/>
    <cellStyle name="Normalno 44" xfId="207"/>
    <cellStyle name="Normalno 45" xfId="208"/>
    <cellStyle name="Normalno 48" xfId="209"/>
    <cellStyle name="Normalno 49" xfId="210"/>
    <cellStyle name="Normalno 5" xfId="4031"/>
    <cellStyle name="Normalno 5 2" xfId="4032"/>
    <cellStyle name="Normalno 5 3" xfId="4033"/>
    <cellStyle name="Normalno 50 2" xfId="211"/>
    <cellStyle name="Normalno 51" xfId="212"/>
    <cellStyle name="Normalno 53" xfId="213"/>
    <cellStyle name="Normalno 54" xfId="214"/>
    <cellStyle name="Normalno 54 2" xfId="215"/>
    <cellStyle name="Normalno 55" xfId="216"/>
    <cellStyle name="Normalno 56" xfId="217"/>
    <cellStyle name="Normalno 57" xfId="4907"/>
    <cellStyle name="Normalno 57 2" xfId="4908"/>
    <cellStyle name="Normalno 58 2" xfId="4909"/>
    <cellStyle name="Normalno 59" xfId="4910"/>
    <cellStyle name="Normalno 6" xfId="4034"/>
    <cellStyle name="Normalno 61 2" xfId="4911"/>
    <cellStyle name="Normalno 63 2" xfId="4912"/>
    <cellStyle name="Normalno 67" xfId="218"/>
    <cellStyle name="Normalno 67 2" xfId="219"/>
    <cellStyle name="Normalno 7" xfId="4035"/>
    <cellStyle name="Normalno 70" xfId="220"/>
    <cellStyle name="Normalno 70 2" xfId="221"/>
    <cellStyle name="Normalno 71" xfId="222"/>
    <cellStyle name="Normalno 71 2" xfId="4916"/>
    <cellStyle name="Normalno 73" xfId="223"/>
    <cellStyle name="Normalno 76" xfId="4913"/>
    <cellStyle name="Normalno 76 2" xfId="4918"/>
    <cellStyle name="Normalno 79" xfId="4914"/>
    <cellStyle name="Normalno 8" xfId="102"/>
    <cellStyle name="Normalno 8 2" xfId="4036"/>
    <cellStyle name="Normalno 8 4 2" xfId="4925"/>
    <cellStyle name="Normalno 83" xfId="4915"/>
    <cellStyle name="Normalno 86" xfId="224"/>
    <cellStyle name="Normalno 88" xfId="225"/>
    <cellStyle name="Normalno 89" xfId="226"/>
    <cellStyle name="Normalno 9" xfId="4037"/>
    <cellStyle name="Normalno 9 2" xfId="4038"/>
    <cellStyle name="Normalno 90" xfId="227"/>
    <cellStyle name="Normalno 90 2" xfId="4917"/>
    <cellStyle name="Normalno 93" xfId="4919"/>
    <cellStyle name="Normalno 94" xfId="4920"/>
    <cellStyle name="Normalno 95" xfId="228"/>
    <cellStyle name="Normalno 95 2" xfId="4921"/>
    <cellStyle name="Normalno 97" xfId="229"/>
    <cellStyle name="Normalno 97 2" xfId="230"/>
    <cellStyle name="Note" xfId="2" builtinId="10" customBuiltin="1"/>
    <cellStyle name="Note 10" xfId="4039"/>
    <cellStyle name="Note 10 2" xfId="4040"/>
    <cellStyle name="Note 10 3" xfId="4041"/>
    <cellStyle name="Note 10_BURE COMMERCE" xfId="4042"/>
    <cellStyle name="Note 11" xfId="4043"/>
    <cellStyle name="Note 11 2" xfId="4044"/>
    <cellStyle name="Note 11 3" xfId="4045"/>
    <cellStyle name="Note 11_BURE COMMERCE" xfId="4046"/>
    <cellStyle name="Note 12" xfId="4047"/>
    <cellStyle name="Note 12 2" xfId="4048"/>
    <cellStyle name="Note 12 3" xfId="4049"/>
    <cellStyle name="Note 12_BURE COMMERCE" xfId="4050"/>
    <cellStyle name="Note 13" xfId="4051"/>
    <cellStyle name="Note 13 2" xfId="4052"/>
    <cellStyle name="Note 13 3" xfId="4053"/>
    <cellStyle name="Note 13_BURE COMMERCE" xfId="4054"/>
    <cellStyle name="Note 14" xfId="4055"/>
    <cellStyle name="Note 14 2" xfId="4056"/>
    <cellStyle name="Note 14 3" xfId="4057"/>
    <cellStyle name="Note 14_BURE COMMERCE" xfId="4058"/>
    <cellStyle name="Note 15" xfId="4059"/>
    <cellStyle name="Note 16" xfId="4060"/>
    <cellStyle name="Note 17" xfId="4061"/>
    <cellStyle name="Note 18" xfId="4062"/>
    <cellStyle name="Note 19" xfId="4063"/>
    <cellStyle name="Note 2" xfId="4064"/>
    <cellStyle name="Note 2 2" xfId="4065"/>
    <cellStyle name="Note 2 3" xfId="4066"/>
    <cellStyle name="Note 2 4" xfId="4067"/>
    <cellStyle name="Note 2 5" xfId="4068"/>
    <cellStyle name="Note 2_BURE COMMERCE" xfId="4069"/>
    <cellStyle name="Note 20" xfId="4070"/>
    <cellStyle name="Note 21" xfId="4071"/>
    <cellStyle name="Note 22" xfId="4072"/>
    <cellStyle name="Note 3" xfId="4073"/>
    <cellStyle name="Note 3 10" xfId="4074"/>
    <cellStyle name="Note 3 11" xfId="4075"/>
    <cellStyle name="Note 3 12" xfId="4076"/>
    <cellStyle name="Note 3 13" xfId="4077"/>
    <cellStyle name="Note 3 14" xfId="4078"/>
    <cellStyle name="Note 3 15" xfId="4079"/>
    <cellStyle name="Note 3 16" xfId="4080"/>
    <cellStyle name="Note 3 17" xfId="4081"/>
    <cellStyle name="Note 3 18" xfId="4082"/>
    <cellStyle name="Note 3 19" xfId="4083"/>
    <cellStyle name="Note 3 2" xfId="4084"/>
    <cellStyle name="Note 3 20" xfId="4085"/>
    <cellStyle name="Note 3 21" xfId="4086"/>
    <cellStyle name="Note 3 22" xfId="4087"/>
    <cellStyle name="Note 3 23" xfId="4088"/>
    <cellStyle name="Note 3 3" xfId="4089"/>
    <cellStyle name="Note 3 4" xfId="4090"/>
    <cellStyle name="Note 3 5" xfId="4091"/>
    <cellStyle name="Note 3 6" xfId="4092"/>
    <cellStyle name="Note 3 7" xfId="4093"/>
    <cellStyle name="Note 3 8" xfId="4094"/>
    <cellStyle name="Note 3 9" xfId="4095"/>
    <cellStyle name="Note 3_BURE COMMERCE" xfId="4096"/>
    <cellStyle name="Note 4" xfId="4097"/>
    <cellStyle name="Note 4 10" xfId="4098"/>
    <cellStyle name="Note 4 11" xfId="4099"/>
    <cellStyle name="Note 4 12" xfId="4100"/>
    <cellStyle name="Note 4 13" xfId="4101"/>
    <cellStyle name="Note 4 14" xfId="4102"/>
    <cellStyle name="Note 4 15" xfId="4103"/>
    <cellStyle name="Note 4 16" xfId="4104"/>
    <cellStyle name="Note 4 17" xfId="4105"/>
    <cellStyle name="Note 4 18" xfId="4106"/>
    <cellStyle name="Note 4 19" xfId="4107"/>
    <cellStyle name="Note 4 2" xfId="4108"/>
    <cellStyle name="Note 4 20" xfId="4109"/>
    <cellStyle name="Note 4 3" xfId="4110"/>
    <cellStyle name="Note 4 4" xfId="4111"/>
    <cellStyle name="Note 4 5" xfId="4112"/>
    <cellStyle name="Note 4 5 2" xfId="4113"/>
    <cellStyle name="Note 4 6" xfId="4114"/>
    <cellStyle name="Note 4 7" xfId="4115"/>
    <cellStyle name="Note 4 7 10" xfId="4116"/>
    <cellStyle name="Note 4 7 11" xfId="4117"/>
    <cellStyle name="Note 4 7 12" xfId="4118"/>
    <cellStyle name="Note 4 7 13" xfId="4119"/>
    <cellStyle name="Note 4 7 14" xfId="4120"/>
    <cellStyle name="Note 4 7 15" xfId="4121"/>
    <cellStyle name="Note 4 7 2" xfId="4122"/>
    <cellStyle name="Note 4 7 3" xfId="4123"/>
    <cellStyle name="Note 4 7 4" xfId="4124"/>
    <cellStyle name="Note 4 7 5" xfId="4125"/>
    <cellStyle name="Note 4 7 6" xfId="4126"/>
    <cellStyle name="Note 4 7 7" xfId="4127"/>
    <cellStyle name="Note 4 7 8" xfId="4128"/>
    <cellStyle name="Note 4 7 9" xfId="4129"/>
    <cellStyle name="Note 4 8" xfId="4130"/>
    <cellStyle name="Note 4 8 2" xfId="4131"/>
    <cellStyle name="Note 4 9" xfId="4132"/>
    <cellStyle name="Note 4_BURE COMMERCE" xfId="4133"/>
    <cellStyle name="Note 5" xfId="4134"/>
    <cellStyle name="Note 5 2" xfId="4135"/>
    <cellStyle name="Note 5 3" xfId="4136"/>
    <cellStyle name="Note 5_BURE COMMERCE" xfId="4137"/>
    <cellStyle name="Note 6" xfId="4138"/>
    <cellStyle name="Note 6 2" xfId="4139"/>
    <cellStyle name="Note 6 3" xfId="4140"/>
    <cellStyle name="Note 6_BURE COMMERCE" xfId="4141"/>
    <cellStyle name="Note 7" xfId="4142"/>
    <cellStyle name="Note 7 2" xfId="4143"/>
    <cellStyle name="Note 7 3" xfId="4144"/>
    <cellStyle name="Note 7_BURE COMMERCE" xfId="4145"/>
    <cellStyle name="Note 8" xfId="4146"/>
    <cellStyle name="Note 8 2" xfId="4147"/>
    <cellStyle name="Note 8 3" xfId="4148"/>
    <cellStyle name="Note 8_BURE COMMERCE" xfId="4149"/>
    <cellStyle name="Note 9" xfId="4150"/>
    <cellStyle name="Note 9 2" xfId="4151"/>
    <cellStyle name="Note 9 3" xfId="4152"/>
    <cellStyle name="Note 9_BURE COMMERCE" xfId="4153"/>
    <cellStyle name="Notiz" xfId="4154"/>
    <cellStyle name="Notiz 2" xfId="4155"/>
    <cellStyle name="Notiz 3" xfId="4156"/>
    <cellStyle name="Notiz 4" xfId="4157"/>
    <cellStyle name="Notiz 4 2" xfId="4158"/>
    <cellStyle name="Notiz 4 3" xfId="4159"/>
    <cellStyle name="Notiz 4 4" xfId="4160"/>
    <cellStyle name="Notiz 5" xfId="4161"/>
    <cellStyle name="Obično 10" xfId="4162"/>
    <cellStyle name="Obično 10 2" xfId="4163"/>
    <cellStyle name="Obično 10 3" xfId="4164"/>
    <cellStyle name="Obično 10 4" xfId="4165"/>
    <cellStyle name="Obično 11" xfId="4166"/>
    <cellStyle name="Obično 11 2" xfId="4167"/>
    <cellStyle name="Obično 11 3" xfId="4168"/>
    <cellStyle name="Obično 12" xfId="4169"/>
    <cellStyle name="Obično 12 2" xfId="4170"/>
    <cellStyle name="Obično 13" xfId="4171"/>
    <cellStyle name="Obično 13 2" xfId="4172"/>
    <cellStyle name="Obično 13 3" xfId="4173"/>
    <cellStyle name="Obično 13 4" xfId="4174"/>
    <cellStyle name="Obično 14" xfId="4175"/>
    <cellStyle name="Obično 14 2" xfId="4176"/>
    <cellStyle name="Obično 15" xfId="4177"/>
    <cellStyle name="Obično 15 2" xfId="4178"/>
    <cellStyle name="Obično 16" xfId="4179"/>
    <cellStyle name="Obično 17" xfId="4180"/>
    <cellStyle name="Obično 17 2" xfId="4181"/>
    <cellStyle name="Obično 17 3" xfId="4182"/>
    <cellStyle name="Obično 18" xfId="4183"/>
    <cellStyle name="Obično 18 2" xfId="4184"/>
    <cellStyle name="Obično 183" xfId="4185"/>
    <cellStyle name="Obično 183 2" xfId="4186"/>
    <cellStyle name="Obično 19" xfId="4187"/>
    <cellStyle name="Obično 19 2" xfId="4188"/>
    <cellStyle name="Obično 2" xfId="105"/>
    <cellStyle name="Obično 2 10" xfId="4190"/>
    <cellStyle name="Obično 2 11" xfId="4191"/>
    <cellStyle name="Obično 2 12" xfId="4192"/>
    <cellStyle name="Obično 2 13" xfId="4193"/>
    <cellStyle name="Obično 2 14" xfId="4194"/>
    <cellStyle name="Obično 2 15" xfId="4195"/>
    <cellStyle name="Obično 2 16" xfId="4196"/>
    <cellStyle name="Obično 2 17" xfId="4197"/>
    <cellStyle name="Obično 2 18" xfId="4198"/>
    <cellStyle name="Obično 2 19" xfId="4199"/>
    <cellStyle name="Obično 2 2" xfId="381"/>
    <cellStyle name="Obično 2 2 10" xfId="4201"/>
    <cellStyle name="Obično 2 2 10 2" xfId="4202"/>
    <cellStyle name="Obično 2 2 10 3" xfId="4203"/>
    <cellStyle name="Obično 2 2 11" xfId="4204"/>
    <cellStyle name="Obično 2 2 11 2" xfId="4205"/>
    <cellStyle name="Obično 2 2 11 3" xfId="4206"/>
    <cellStyle name="Obično 2 2 12" xfId="4207"/>
    <cellStyle name="Obično 2 2 12 2" xfId="4208"/>
    <cellStyle name="Obično 2 2 12 3" xfId="4209"/>
    <cellStyle name="Obično 2 2 13" xfId="4210"/>
    <cellStyle name="Obično 2 2 13 2" xfId="4211"/>
    <cellStyle name="Obično 2 2 13 3" xfId="4212"/>
    <cellStyle name="Obično 2 2 14" xfId="4213"/>
    <cellStyle name="Obično 2 2 14 2" xfId="4214"/>
    <cellStyle name="Obično 2 2 14 3" xfId="4215"/>
    <cellStyle name="Obično 2 2 15" xfId="4216"/>
    <cellStyle name="Obično 2 2 15 2" xfId="4217"/>
    <cellStyle name="Obično 2 2 15 3" xfId="4218"/>
    <cellStyle name="Obično 2 2 16" xfId="4219"/>
    <cellStyle name="Obično 2 2 16 2" xfId="4220"/>
    <cellStyle name="Obično 2 2 16 3" xfId="4221"/>
    <cellStyle name="Obično 2 2 17" xfId="4222"/>
    <cellStyle name="Obično 2 2 17 2" xfId="4223"/>
    <cellStyle name="Obično 2 2 17 3" xfId="4224"/>
    <cellStyle name="Obično 2 2 18" xfId="4225"/>
    <cellStyle name="Obično 2 2 18 2" xfId="4226"/>
    <cellStyle name="Obično 2 2 18 3" xfId="4227"/>
    <cellStyle name="Obično 2 2 19" xfId="4228"/>
    <cellStyle name="Obično 2 2 19 2" xfId="4229"/>
    <cellStyle name="Obično 2 2 19 3" xfId="4230"/>
    <cellStyle name="Obično 2 2 2" xfId="4231"/>
    <cellStyle name="Obično 2 2 2 10" xfId="4232"/>
    <cellStyle name="Obično 2 2 2 11" xfId="4233"/>
    <cellStyle name="Obično 2 2 2 12" xfId="4234"/>
    <cellStyle name="Obično 2 2 2 13" xfId="4235"/>
    <cellStyle name="Obično 2 2 2 14" xfId="4236"/>
    <cellStyle name="Obično 2 2 2 15" xfId="4237"/>
    <cellStyle name="Obično 2 2 2 16" xfId="4238"/>
    <cellStyle name="Obično 2 2 2 17" xfId="4239"/>
    <cellStyle name="Obično 2 2 2 18" xfId="4240"/>
    <cellStyle name="Obično 2 2 2 19" xfId="4241"/>
    <cellStyle name="Obično 2 2 2 2" xfId="4242"/>
    <cellStyle name="Obično 2 2 2 2 10" xfId="4243"/>
    <cellStyle name="Obično 2 2 2 2 10 2" xfId="4244"/>
    <cellStyle name="Obično 2 2 2 2 10 3" xfId="4245"/>
    <cellStyle name="Obično 2 2 2 2 11" xfId="4246"/>
    <cellStyle name="Obično 2 2 2 2 11 2" xfId="4247"/>
    <cellStyle name="Obično 2 2 2 2 11 3" xfId="4248"/>
    <cellStyle name="Obično 2 2 2 2 12" xfId="4249"/>
    <cellStyle name="Obično 2 2 2 2 12 2" xfId="4250"/>
    <cellStyle name="Obično 2 2 2 2 12 3" xfId="4251"/>
    <cellStyle name="Obično 2 2 2 2 13" xfId="4252"/>
    <cellStyle name="Obično 2 2 2 2 13 2" xfId="4253"/>
    <cellStyle name="Obično 2 2 2 2 13 3" xfId="4254"/>
    <cellStyle name="Obično 2 2 2 2 14" xfId="4255"/>
    <cellStyle name="Obično 2 2 2 2 14 2" xfId="4256"/>
    <cellStyle name="Obično 2 2 2 2 14 3" xfId="4257"/>
    <cellStyle name="Obično 2 2 2 2 15" xfId="4258"/>
    <cellStyle name="Obično 2 2 2 2 15 2" xfId="4259"/>
    <cellStyle name="Obično 2 2 2 2 15 3" xfId="4260"/>
    <cellStyle name="Obično 2 2 2 2 16" xfId="4261"/>
    <cellStyle name="Obično 2 2 2 2 17" xfId="4262"/>
    <cellStyle name="Obično 2 2 2 2 2" xfId="4263"/>
    <cellStyle name="Obično 2 2 2 2 2 2" xfId="4264"/>
    <cellStyle name="Obično 2 2 2 2 2 3" xfId="4265"/>
    <cellStyle name="Obično 2 2 2 2 3" xfId="4266"/>
    <cellStyle name="Obično 2 2 2 2 3 2" xfId="4267"/>
    <cellStyle name="Obično 2 2 2 2 3 3" xfId="4268"/>
    <cellStyle name="Obično 2 2 2 2 4" xfId="4269"/>
    <cellStyle name="Obično 2 2 2 2 4 2" xfId="4270"/>
    <cellStyle name="Obično 2 2 2 2 4 3" xfId="4271"/>
    <cellStyle name="Obično 2 2 2 2 5" xfId="4272"/>
    <cellStyle name="Obično 2 2 2 2 5 2" xfId="4273"/>
    <cellStyle name="Obično 2 2 2 2 5 3" xfId="4274"/>
    <cellStyle name="Obično 2 2 2 2 6" xfId="4275"/>
    <cellStyle name="Obično 2 2 2 2 6 2" xfId="4276"/>
    <cellStyle name="Obično 2 2 2 2 6 3" xfId="4277"/>
    <cellStyle name="Obično 2 2 2 2 7" xfId="4278"/>
    <cellStyle name="Obično 2 2 2 2 7 2" xfId="4279"/>
    <cellStyle name="Obično 2 2 2 2 7 3" xfId="4280"/>
    <cellStyle name="Obično 2 2 2 2 8" xfId="4281"/>
    <cellStyle name="Obično 2 2 2 2 8 2" xfId="4282"/>
    <cellStyle name="Obično 2 2 2 2 8 3" xfId="4283"/>
    <cellStyle name="Obično 2 2 2 2 9" xfId="4284"/>
    <cellStyle name="Obično 2 2 2 2 9 2" xfId="4285"/>
    <cellStyle name="Obično 2 2 2 2 9 3" xfId="4286"/>
    <cellStyle name="Obično 2 2 2 3" xfId="4287"/>
    <cellStyle name="Obično 2 2 2 3 2" xfId="4288"/>
    <cellStyle name="Obično 2 2 2 3 3" xfId="4289"/>
    <cellStyle name="Obično 2 2 2 3 4" xfId="4290"/>
    <cellStyle name="Obično 2 2 2 4" xfId="4291"/>
    <cellStyle name="Obično 2 2 2 5" xfId="4292"/>
    <cellStyle name="Obično 2 2 2 6" xfId="4293"/>
    <cellStyle name="Obično 2 2 2 7" xfId="4294"/>
    <cellStyle name="Obično 2 2 2 8" xfId="4295"/>
    <cellStyle name="Obično 2 2 2 9" xfId="4296"/>
    <cellStyle name="Obično 2 2 20" xfId="4297"/>
    <cellStyle name="Obično 2 2 20 2" xfId="4298"/>
    <cellStyle name="Obično 2 2 20 3" xfId="4299"/>
    <cellStyle name="Obično 2 2 21" xfId="4300"/>
    <cellStyle name="Obično 2 2 22" xfId="4301"/>
    <cellStyle name="Obično 2 2 23" xfId="4302"/>
    <cellStyle name="Obično 2 2 24" xfId="4200"/>
    <cellStyle name="Obično 2 2 3" xfId="4303"/>
    <cellStyle name="Obično 2 2 3 2" xfId="4304"/>
    <cellStyle name="Obično 2 2 3 3" xfId="4305"/>
    <cellStyle name="Obično 2 2 4" xfId="4306"/>
    <cellStyle name="Obično 2 2 4 2" xfId="4307"/>
    <cellStyle name="Obično 2 2 4 3" xfId="4308"/>
    <cellStyle name="Obično 2 2 5" xfId="4309"/>
    <cellStyle name="Obično 2 2 5 2" xfId="4310"/>
    <cellStyle name="Obično 2 2 5 3" xfId="4311"/>
    <cellStyle name="Obično 2 2 6" xfId="4312"/>
    <cellStyle name="Obično 2 2 6 2" xfId="4313"/>
    <cellStyle name="Obično 2 2 6 3" xfId="4314"/>
    <cellStyle name="Obično 2 2 7" xfId="4315"/>
    <cellStyle name="Obično 2 2 8" xfId="4316"/>
    <cellStyle name="Obično 2 2 8 2" xfId="4317"/>
    <cellStyle name="Obično 2 2 8 3" xfId="4318"/>
    <cellStyle name="Obično 2 2 9" xfId="4319"/>
    <cellStyle name="Obično 2 2 9 2" xfId="4320"/>
    <cellStyle name="Obično 2 2 9 3" xfId="4321"/>
    <cellStyle name="Obično 2 2_10_Agregat" xfId="4322"/>
    <cellStyle name="Obično 2 20" xfId="4323"/>
    <cellStyle name="Obično 2 21" xfId="4324"/>
    <cellStyle name="Obično 2 22" xfId="4325"/>
    <cellStyle name="Obično 2 23" xfId="4326"/>
    <cellStyle name="Obično 2 24" xfId="4327"/>
    <cellStyle name="Obično 2 25" xfId="4328"/>
    <cellStyle name="Obično 2 26" xfId="4329"/>
    <cellStyle name="Obično 2 27" xfId="4330"/>
    <cellStyle name="Obično 2 28" xfId="4331"/>
    <cellStyle name="Obično 2 29" xfId="4332"/>
    <cellStyle name="Obično 2 3" xfId="4333"/>
    <cellStyle name="Obično 2 3 2" xfId="4334"/>
    <cellStyle name="Obično 2 3 3" xfId="4335"/>
    <cellStyle name="Obično 2 30" xfId="4336"/>
    <cellStyle name="Obično 2 31" xfId="4189"/>
    <cellStyle name="Obično 2 32" xfId="374"/>
    <cellStyle name="Obično 2 4" xfId="4337"/>
    <cellStyle name="Obično 2 4 2" xfId="4338"/>
    <cellStyle name="Obično 2 5" xfId="4339"/>
    <cellStyle name="Obično 2 5 2" xfId="4340"/>
    <cellStyle name="Obično 2 6" xfId="4341"/>
    <cellStyle name="Obično 2 7" xfId="4342"/>
    <cellStyle name="Obično 2 7 2" xfId="4343"/>
    <cellStyle name="Obično 2 7 3" xfId="4344"/>
    <cellStyle name="Obično 2 8" xfId="4345"/>
    <cellStyle name="Obično 2 9" xfId="4346"/>
    <cellStyle name="Obično 2_10_Agregat" xfId="4347"/>
    <cellStyle name="Obično 20" xfId="4348"/>
    <cellStyle name="Obično 20 2" xfId="4349"/>
    <cellStyle name="Obično 21" xfId="4350"/>
    <cellStyle name="Obično 21 2" xfId="4351"/>
    <cellStyle name="Obično 22" xfId="4352"/>
    <cellStyle name="Obično 22 2" xfId="4353"/>
    <cellStyle name="Obično 24" xfId="4354"/>
    <cellStyle name="Obično 25" xfId="4355"/>
    <cellStyle name="Obično 26" xfId="4356"/>
    <cellStyle name="Obično 27" xfId="4357"/>
    <cellStyle name="Obično 28" xfId="4358"/>
    <cellStyle name="Obično 3" xfId="375"/>
    <cellStyle name="Obično 3 2" xfId="4360"/>
    <cellStyle name="Obično 3 2 2" xfId="4361"/>
    <cellStyle name="Obično 3 2 2 2" xfId="4362"/>
    <cellStyle name="Obično 3 2 2 2 2" xfId="4363"/>
    <cellStyle name="Obično 3 2 2 2 3" xfId="4364"/>
    <cellStyle name="Obično 3 2 2 3" xfId="4365"/>
    <cellStyle name="Obično 3 2 2 3 2" xfId="4366"/>
    <cellStyle name="Obično 3 2 2 3 3" xfId="4367"/>
    <cellStyle name="Obično 3 2 2 4" xfId="4368"/>
    <cellStyle name="Obično 3 2 2 4 2" xfId="4369"/>
    <cellStyle name="Obično 3 2 2 5" xfId="4370"/>
    <cellStyle name="Obično 3 2 2 6" xfId="4371"/>
    <cellStyle name="Obično 3 2 3" xfId="4372"/>
    <cellStyle name="Obično 3 2 3 2" xfId="4373"/>
    <cellStyle name="Obično 3 2 3 2 2" xfId="4374"/>
    <cellStyle name="Obično 3 2 3 2 3" xfId="4375"/>
    <cellStyle name="Obično 3 2 3 3" xfId="4376"/>
    <cellStyle name="Obično 3 2 3 3 2" xfId="4377"/>
    <cellStyle name="Obično 3 2 3 4" xfId="4378"/>
    <cellStyle name="Obično 3 2 3 5" xfId="4379"/>
    <cellStyle name="Obično 3 2 4" xfId="4380"/>
    <cellStyle name="Obično 3 2 4 2" xfId="4381"/>
    <cellStyle name="Obično 3 2 4 3" xfId="4382"/>
    <cellStyle name="Obično 3 2 5" xfId="4383"/>
    <cellStyle name="Obično 3 2 5 2" xfId="4384"/>
    <cellStyle name="Obično 3 2 6" xfId="4385"/>
    <cellStyle name="Obično 3 2 7" xfId="4386"/>
    <cellStyle name="Obično 3 2 8" xfId="4387"/>
    <cellStyle name="Obično 3 3" xfId="4388"/>
    <cellStyle name="Obično 3 3 2" xfId="4389"/>
    <cellStyle name="Obično 3 3 2 2" xfId="4390"/>
    <cellStyle name="Obično 3 3 2 2 2" xfId="4391"/>
    <cellStyle name="Obično 3 3 2 2 3" xfId="4392"/>
    <cellStyle name="Obično 3 3 2 3" xfId="4393"/>
    <cellStyle name="Obično 3 3 2 3 2" xfId="4394"/>
    <cellStyle name="Obično 3 3 2 3 3" xfId="4395"/>
    <cellStyle name="Obično 3 3 2 4" xfId="4396"/>
    <cellStyle name="Obično 3 3 2 4 2" xfId="4397"/>
    <cellStyle name="Obično 3 3 2 5" xfId="4398"/>
    <cellStyle name="Obično 3 3 2 6" xfId="4399"/>
    <cellStyle name="Obično 3 3 3" xfId="4400"/>
    <cellStyle name="Obično 3 3 3 2" xfId="4401"/>
    <cellStyle name="Obično 3 3 3 2 2" xfId="4402"/>
    <cellStyle name="Obično 3 3 3 2 3" xfId="4403"/>
    <cellStyle name="Obično 3 3 3 3" xfId="4404"/>
    <cellStyle name="Obično 3 3 3 3 2" xfId="4405"/>
    <cellStyle name="Obično 3 3 3 4" xfId="4406"/>
    <cellStyle name="Obično 3 3 3 5" xfId="4407"/>
    <cellStyle name="Obično 3 3 4" xfId="4408"/>
    <cellStyle name="Obično 3 3 4 2" xfId="4409"/>
    <cellStyle name="Obično 3 3 4 3" xfId="4410"/>
    <cellStyle name="Obično 3 3 5" xfId="4411"/>
    <cellStyle name="Obično 3 3 5 2" xfId="4412"/>
    <cellStyle name="Obično 3 3 6" xfId="4413"/>
    <cellStyle name="Obično 3 3 7" xfId="4414"/>
    <cellStyle name="Obično 3 3 8" xfId="4415"/>
    <cellStyle name="Obično 3 4" xfId="4416"/>
    <cellStyle name="Obično 3 5" xfId="4417"/>
    <cellStyle name="Obično 3 6" xfId="4418"/>
    <cellStyle name="Obično 3 7" xfId="4419"/>
    <cellStyle name="Obično 3 8" xfId="4359"/>
    <cellStyle name="Obično 3 9" xfId="4875"/>
    <cellStyle name="Obično 3_ELEKTRO" xfId="4420"/>
    <cellStyle name="Obično 31" xfId="4421"/>
    <cellStyle name="Obično 32" xfId="4422"/>
    <cellStyle name="Obično 33" xfId="4423"/>
    <cellStyle name="Obično 35" xfId="4424"/>
    <cellStyle name="Obično 37" xfId="4425"/>
    <cellStyle name="Obično 38" xfId="4426"/>
    <cellStyle name="Obično 39" xfId="4427"/>
    <cellStyle name="Obično 39 2" xfId="4428"/>
    <cellStyle name="Obično 4" xfId="4429"/>
    <cellStyle name="Obično 4 2" xfId="4430"/>
    <cellStyle name="Obično 4 3" xfId="4431"/>
    <cellStyle name="Obično 4 4" xfId="4432"/>
    <cellStyle name="Obično 4 5" xfId="4433"/>
    <cellStyle name="Obično 5" xfId="4434"/>
    <cellStyle name="Obično 5 2" xfId="4435"/>
    <cellStyle name="Obično 5 3" xfId="4436"/>
    <cellStyle name="Obično 5 4" xfId="4437"/>
    <cellStyle name="Obično 5 4 2" xfId="4438"/>
    <cellStyle name="Obično 5 5" xfId="4439"/>
    <cellStyle name="Obično 5_ELEKTRO" xfId="4440"/>
    <cellStyle name="Obično 6" xfId="4441"/>
    <cellStyle name="Obično 6 2" xfId="4442"/>
    <cellStyle name="Obično 6 3" xfId="4443"/>
    <cellStyle name="Obično 7" xfId="4444"/>
    <cellStyle name="Obično 7 2" xfId="4445"/>
    <cellStyle name="Obično 7 3" xfId="4446"/>
    <cellStyle name="Obično 7 4" xfId="4447"/>
    <cellStyle name="Obično 8" xfId="4448"/>
    <cellStyle name="Obično 8 2" xfId="4449"/>
    <cellStyle name="Obično 8 3" xfId="4450"/>
    <cellStyle name="Obično 8 4" xfId="4451"/>
    <cellStyle name="Obično 8 5" xfId="4452"/>
    <cellStyle name="Obično 9" xfId="4453"/>
    <cellStyle name="Obično 9 2" xfId="4454"/>
    <cellStyle name="Obično 9 3" xfId="4455"/>
    <cellStyle name="Obično 9_ELEKTRO" xfId="4456"/>
    <cellStyle name="Obično_01_09_KAJZERICA-ŠKOLA ZG_ VN" xfId="4457"/>
    <cellStyle name="Obično_HALA SEREC" xfId="4923"/>
    <cellStyle name="Opomba" xfId="4458"/>
    <cellStyle name="Opozorilo" xfId="4459"/>
    <cellStyle name="Output 10" xfId="4461"/>
    <cellStyle name="Output 11" xfId="4462"/>
    <cellStyle name="Output 12" xfId="4463"/>
    <cellStyle name="Output 13" xfId="4464"/>
    <cellStyle name="Output 14" xfId="4465"/>
    <cellStyle name="Output 15" xfId="4460"/>
    <cellStyle name="Output 2" xfId="39"/>
    <cellStyle name="Output 2 2" xfId="4466"/>
    <cellStyle name="Output 3" xfId="4467"/>
    <cellStyle name="Output 3 10" xfId="4468"/>
    <cellStyle name="Output 3 11" xfId="4469"/>
    <cellStyle name="Output 3 12" xfId="4470"/>
    <cellStyle name="Output 3 13" xfId="4471"/>
    <cellStyle name="Output 3 14" xfId="4472"/>
    <cellStyle name="Output 3 15" xfId="4473"/>
    <cellStyle name="Output 3 16" xfId="4474"/>
    <cellStyle name="Output 3 17" xfId="4475"/>
    <cellStyle name="Output 3 18" xfId="4476"/>
    <cellStyle name="Output 3 19" xfId="4477"/>
    <cellStyle name="Output 3 2" xfId="4478"/>
    <cellStyle name="Output 3 20" xfId="4479"/>
    <cellStyle name="Output 3 21" xfId="4480"/>
    <cellStyle name="Output 3 22" xfId="4481"/>
    <cellStyle name="Output 3 23" xfId="4482"/>
    <cellStyle name="Output 3 24" xfId="4483"/>
    <cellStyle name="Output 3 3" xfId="4484"/>
    <cellStyle name="Output 3 4" xfId="4485"/>
    <cellStyle name="Output 3 5" xfId="4486"/>
    <cellStyle name="Output 3 6" xfId="4487"/>
    <cellStyle name="Output 3 7" xfId="4488"/>
    <cellStyle name="Output 3 8" xfId="4489"/>
    <cellStyle name="Output 3 9" xfId="4490"/>
    <cellStyle name="Output 4" xfId="4491"/>
    <cellStyle name="Output 4 10" xfId="4492"/>
    <cellStyle name="Output 4 11" xfId="4493"/>
    <cellStyle name="Output 4 12" xfId="4494"/>
    <cellStyle name="Output 4 13" xfId="4495"/>
    <cellStyle name="Output 4 14" xfId="4496"/>
    <cellStyle name="Output 4 15" xfId="4497"/>
    <cellStyle name="Output 4 16" xfId="4498"/>
    <cellStyle name="Output 4 17" xfId="4499"/>
    <cellStyle name="Output 4 18" xfId="4500"/>
    <cellStyle name="Output 4 19" xfId="4501"/>
    <cellStyle name="Output 4 2" xfId="4502"/>
    <cellStyle name="Output 4 20" xfId="4503"/>
    <cellStyle name="Output 4 21" xfId="4504"/>
    <cellStyle name="Output 4 3" xfId="4505"/>
    <cellStyle name="Output 4 4" xfId="4506"/>
    <cellStyle name="Output 4 5" xfId="4507"/>
    <cellStyle name="Output 4 6" xfId="4508"/>
    <cellStyle name="Output 4 7" xfId="4509"/>
    <cellStyle name="Output 4 8" xfId="4510"/>
    <cellStyle name="Output 4 9" xfId="4511"/>
    <cellStyle name="Output 5" xfId="4512"/>
    <cellStyle name="Output 6" xfId="4513"/>
    <cellStyle name="Output 7" xfId="4514"/>
    <cellStyle name="Output 8" xfId="4515"/>
    <cellStyle name="Output 9" xfId="4516"/>
    <cellStyle name="Percent [0]" xfId="4517"/>
    <cellStyle name="Percent [00]" xfId="4518"/>
    <cellStyle name="Percent [2]" xfId="4519"/>
    <cellStyle name="Percent 2" xfId="118"/>
    <cellStyle name="Percent 2 2" xfId="4521"/>
    <cellStyle name="Percent 2 2 2" xfId="4522"/>
    <cellStyle name="Percent 2 3" xfId="4523"/>
    <cellStyle name="Percent 2 4" xfId="4524"/>
    <cellStyle name="Percent 2 5" xfId="4525"/>
    <cellStyle name="Percent 2 6" xfId="4520"/>
    <cellStyle name="Percent 3" xfId="4526"/>
    <cellStyle name="Percent 3 2" xfId="4527"/>
    <cellStyle name="Percent 4" xfId="4528"/>
    <cellStyle name="PODNASLOV" xfId="4529"/>
    <cellStyle name="Pojasnjevalno besedilo" xfId="4530"/>
    <cellStyle name="Postotak 2" xfId="4531"/>
    <cellStyle name="Postotak 3" xfId="4532"/>
    <cellStyle name="Postotak 4" xfId="4533"/>
    <cellStyle name="Poudarek1" xfId="4534"/>
    <cellStyle name="Poudarek2" xfId="4535"/>
    <cellStyle name="Poudarek3" xfId="4536"/>
    <cellStyle name="Poudarek4" xfId="4537"/>
    <cellStyle name="Poudarek5" xfId="4538"/>
    <cellStyle name="Poudarek6" xfId="4539"/>
    <cellStyle name="Povezana celica" xfId="4540"/>
    <cellStyle name="Povezana ćelija 2" xfId="4541"/>
    <cellStyle name="Povezana ćelija 3" xfId="4542"/>
    <cellStyle name="Povezana ćelija 3 2" xfId="4543"/>
    <cellStyle name="PrePop Currency (0)" xfId="4544"/>
    <cellStyle name="PrePop Currency (2)" xfId="4545"/>
    <cellStyle name="PrePop Units (0)" xfId="4546"/>
    <cellStyle name="PrePop Units (1)" xfId="4547"/>
    <cellStyle name="PrePop Units (2)" xfId="4548"/>
    <cellStyle name="Preveri celico" xfId="4549"/>
    <cellStyle name="Provjera ćelije 2" xfId="4550"/>
    <cellStyle name="Provjera ćelije 3" xfId="4551"/>
    <cellStyle name="Računanje" xfId="4552"/>
    <cellStyle name="SADRŽAJ" xfId="4553"/>
    <cellStyle name="Satisfaisant" xfId="4554"/>
    <cellStyle name="Schlecht" xfId="4555"/>
    <cellStyle name="Schlecht 2" xfId="4556"/>
    <cellStyle name="Sheet Title" xfId="4557"/>
    <cellStyle name="Slabo" xfId="4558"/>
    <cellStyle name="Sortie" xfId="4559"/>
    <cellStyle name="Standard" xfId="4560"/>
    <cellStyle name="Standard 2" xfId="4561"/>
    <cellStyle name="STAVKE" xfId="376"/>
    <cellStyle name="Stil 1" xfId="64"/>
    <cellStyle name="Stil 1 2" xfId="4563"/>
    <cellStyle name="Stil 1 3" xfId="4562"/>
    <cellStyle name="Style 1" xfId="65"/>
    <cellStyle name="Style 1 2" xfId="4564"/>
    <cellStyle name="Style 1 2 2" xfId="71"/>
    <cellStyle name="Style 1 2 3" xfId="4565"/>
    <cellStyle name="Style 1 3" xfId="231"/>
    <cellStyle name="Style 1 3 2" xfId="4566"/>
    <cellStyle name="Style 1 4" xfId="4567"/>
    <cellStyle name="Style 1 5" xfId="232"/>
    <cellStyle name="Style 1_07. FIRE PROTECTION_SPRINKLERver14" xfId="4568"/>
    <cellStyle name="Tekst objašnjenja 2" xfId="4569"/>
    <cellStyle name="Tekst objašnjenja 3" xfId="4570"/>
    <cellStyle name="Tekst upozorenja 2" xfId="4571"/>
    <cellStyle name="tekst-levo" xfId="4572"/>
    <cellStyle name="Text Indent A" xfId="4573"/>
    <cellStyle name="Text Indent B" xfId="4574"/>
    <cellStyle name="Text Indent C" xfId="4575"/>
    <cellStyle name="Texte explicatif" xfId="4576"/>
    <cellStyle name="Title 2" xfId="40"/>
    <cellStyle name="Title 2 2" xfId="4577"/>
    <cellStyle name="Title 3" xfId="4578"/>
    <cellStyle name="Title 3 10" xfId="4579"/>
    <cellStyle name="Title 3 11" xfId="4580"/>
    <cellStyle name="Title 3 12" xfId="4581"/>
    <cellStyle name="Title 3 13" xfId="4582"/>
    <cellStyle name="Title 3 14" xfId="4583"/>
    <cellStyle name="Title 3 15" xfId="4584"/>
    <cellStyle name="Title 3 16" xfId="4585"/>
    <cellStyle name="Title 3 17" xfId="4586"/>
    <cellStyle name="Title 3 18" xfId="4587"/>
    <cellStyle name="Title 3 19" xfId="4588"/>
    <cellStyle name="Title 3 2" xfId="4589"/>
    <cellStyle name="Title 3 20" xfId="4590"/>
    <cellStyle name="Title 3 21" xfId="4591"/>
    <cellStyle name="Title 3 22" xfId="4592"/>
    <cellStyle name="Title 3 23" xfId="4593"/>
    <cellStyle name="Title 3 24" xfId="4594"/>
    <cellStyle name="Title 3 3" xfId="4595"/>
    <cellStyle name="Title 3 4" xfId="4596"/>
    <cellStyle name="Title 3 5" xfId="4597"/>
    <cellStyle name="Title 3 6" xfId="4598"/>
    <cellStyle name="Title 3 7" xfId="4599"/>
    <cellStyle name="Title 3 8" xfId="4600"/>
    <cellStyle name="Title 3 9" xfId="4601"/>
    <cellStyle name="Title 4" xfId="4602"/>
    <cellStyle name="Title 4 10" xfId="4603"/>
    <cellStyle name="Title 4 11" xfId="4604"/>
    <cellStyle name="Title 4 12" xfId="4605"/>
    <cellStyle name="Title 4 13" xfId="4606"/>
    <cellStyle name="Title 4 14" xfId="4607"/>
    <cellStyle name="Title 4 15" xfId="4608"/>
    <cellStyle name="Title 4 16" xfId="4609"/>
    <cellStyle name="Title 4 17" xfId="4610"/>
    <cellStyle name="Title 4 18" xfId="4611"/>
    <cellStyle name="Title 4 19" xfId="4612"/>
    <cellStyle name="Title 4 2" xfId="4613"/>
    <cellStyle name="Title 4 20" xfId="4614"/>
    <cellStyle name="Title 4 3" xfId="4615"/>
    <cellStyle name="Title 4 4" xfId="4616"/>
    <cellStyle name="Title 4 5" xfId="4617"/>
    <cellStyle name="Title 4 6" xfId="4618"/>
    <cellStyle name="Title 4 7" xfId="4619"/>
    <cellStyle name="Title 4 8" xfId="4620"/>
    <cellStyle name="Title 4 9" xfId="4621"/>
    <cellStyle name="Titre" xfId="4622"/>
    <cellStyle name="Titre 1" xfId="4623"/>
    <cellStyle name="Titre 2" xfId="4624"/>
    <cellStyle name="Titre 3" xfId="4625"/>
    <cellStyle name="Titre 4" xfId="4626"/>
    <cellStyle name="Total 10" xfId="4628"/>
    <cellStyle name="Total 11" xfId="4629"/>
    <cellStyle name="Total 12" xfId="4630"/>
    <cellStyle name="Total 13" xfId="4631"/>
    <cellStyle name="Total 14" xfId="4632"/>
    <cellStyle name="Total 15" xfId="4627"/>
    <cellStyle name="Total 2" xfId="41"/>
    <cellStyle name="Total 2 2" xfId="4633"/>
    <cellStyle name="Total 3" xfId="4634"/>
    <cellStyle name="Total 3 10" xfId="4635"/>
    <cellStyle name="Total 3 11" xfId="4636"/>
    <cellStyle name="Total 3 12" xfId="4637"/>
    <cellStyle name="Total 3 13" xfId="4638"/>
    <cellStyle name="Total 3 14" xfId="4639"/>
    <cellStyle name="Total 3 15" xfId="4640"/>
    <cellStyle name="Total 3 16" xfId="4641"/>
    <cellStyle name="Total 3 17" xfId="4642"/>
    <cellStyle name="Total 3 18" xfId="4643"/>
    <cellStyle name="Total 3 19" xfId="4644"/>
    <cellStyle name="Total 3 2" xfId="4645"/>
    <cellStyle name="Total 3 20" xfId="4646"/>
    <cellStyle name="Total 3 21" xfId="4647"/>
    <cellStyle name="Total 3 22" xfId="4648"/>
    <cellStyle name="Total 3 23" xfId="4649"/>
    <cellStyle name="Total 3 24" xfId="4650"/>
    <cellStyle name="Total 3 3" xfId="4651"/>
    <cellStyle name="Total 3 4" xfId="4652"/>
    <cellStyle name="Total 3 5" xfId="4653"/>
    <cellStyle name="Total 3 6" xfId="4654"/>
    <cellStyle name="Total 3 7" xfId="4655"/>
    <cellStyle name="Total 3 8" xfId="4656"/>
    <cellStyle name="Total 3 9" xfId="4657"/>
    <cellStyle name="Total 4" xfId="4658"/>
    <cellStyle name="Total 4 10" xfId="4659"/>
    <cellStyle name="Total 4 11" xfId="4660"/>
    <cellStyle name="Total 4 12" xfId="4661"/>
    <cellStyle name="Total 4 13" xfId="4662"/>
    <cellStyle name="Total 4 14" xfId="4663"/>
    <cellStyle name="Total 4 15" xfId="4664"/>
    <cellStyle name="Total 4 16" xfId="4665"/>
    <cellStyle name="Total 4 17" xfId="4666"/>
    <cellStyle name="Total 4 18" xfId="4667"/>
    <cellStyle name="Total 4 19" xfId="4668"/>
    <cellStyle name="Total 4 2" xfId="4669"/>
    <cellStyle name="Total 4 20" xfId="4670"/>
    <cellStyle name="Total 4 21" xfId="4671"/>
    <cellStyle name="Total 4 3" xfId="4672"/>
    <cellStyle name="Total 4 4" xfId="4673"/>
    <cellStyle name="Total 4 5" xfId="4674"/>
    <cellStyle name="Total 4 6" xfId="4675"/>
    <cellStyle name="Total 4 7" xfId="4676"/>
    <cellStyle name="Total 4 8" xfId="4677"/>
    <cellStyle name="Total 4 9" xfId="4678"/>
    <cellStyle name="Total 5" xfId="4679"/>
    <cellStyle name="Total 6" xfId="4680"/>
    <cellStyle name="Total 7" xfId="4681"/>
    <cellStyle name="Total 8" xfId="4682"/>
    <cellStyle name="Total 9" xfId="4683"/>
    <cellStyle name="TRO©KOVNIK" xfId="4684"/>
    <cellStyle name="Überschrift" xfId="4685"/>
    <cellStyle name="Überschrift 1" xfId="4686"/>
    <cellStyle name="Überschrift 1 2" xfId="4687"/>
    <cellStyle name="Überschrift 2" xfId="4688"/>
    <cellStyle name="Überschrift 2 2" xfId="4689"/>
    <cellStyle name="Überschrift 3" xfId="4690"/>
    <cellStyle name="Überschrift 3 2" xfId="4691"/>
    <cellStyle name="Überschrift 4" xfId="4692"/>
    <cellStyle name="Überschrift 4 2" xfId="4693"/>
    <cellStyle name="Überschrift 5" xfId="4694"/>
    <cellStyle name="Überschrift_05_SUPERNOVA_TROSKOVNIK_JAKE I SLABE STRUJE_OBI" xfId="4695"/>
    <cellStyle name="Ukupni zbroj 2" xfId="4696"/>
    <cellStyle name="Ukupni zbroj 3" xfId="4697"/>
    <cellStyle name="Ukupni zbroj 3 2" xfId="4698"/>
    <cellStyle name="UKUPNO" xfId="4699"/>
    <cellStyle name="Ukupno 2" xfId="4700"/>
    <cellStyle name="Ukupno_1051-3_1_UPU-6_1_dio_Projektantski troskovnici bez cijena" xfId="4701"/>
    <cellStyle name="Unos 2" xfId="4702"/>
    <cellStyle name="Unos 3" xfId="4703"/>
    <cellStyle name="Valuta 2" xfId="4704"/>
    <cellStyle name="Valuta 3" xfId="4705"/>
    <cellStyle name="Vérification" xfId="4706"/>
    <cellStyle name="Verknüpfte Zelle" xfId="4707"/>
    <cellStyle name="Verknüpfte Zelle 2" xfId="4708"/>
    <cellStyle name="Vnos" xfId="4709"/>
    <cellStyle name="Vsota" xfId="4710"/>
    <cellStyle name="Währung [0]_Fagr" xfId="4711"/>
    <cellStyle name="Währung_Fagr" xfId="4712"/>
    <cellStyle name="Warnender Text" xfId="4713"/>
    <cellStyle name="Warning Text 10" xfId="4715"/>
    <cellStyle name="Warning Text 11" xfId="4716"/>
    <cellStyle name="Warning Text 12" xfId="4717"/>
    <cellStyle name="Warning Text 13" xfId="4718"/>
    <cellStyle name="Warning Text 14" xfId="4719"/>
    <cellStyle name="Warning Text 15" xfId="4714"/>
    <cellStyle name="Warning Text 2" xfId="42"/>
    <cellStyle name="Warning Text 2 2" xfId="4720"/>
    <cellStyle name="Warning Text 3" xfId="4721"/>
    <cellStyle name="Warning Text 3 10" xfId="4722"/>
    <cellStyle name="Warning Text 3 11" xfId="4723"/>
    <cellStyle name="Warning Text 3 12" xfId="4724"/>
    <cellStyle name="Warning Text 3 13" xfId="4725"/>
    <cellStyle name="Warning Text 3 14" xfId="4726"/>
    <cellStyle name="Warning Text 3 15" xfId="4727"/>
    <cellStyle name="Warning Text 3 16" xfId="4728"/>
    <cellStyle name="Warning Text 3 17" xfId="4729"/>
    <cellStyle name="Warning Text 3 18" xfId="4730"/>
    <cellStyle name="Warning Text 3 19" xfId="4731"/>
    <cellStyle name="Warning Text 3 2" xfId="4732"/>
    <cellStyle name="Warning Text 3 20" xfId="4733"/>
    <cellStyle name="Warning Text 3 21" xfId="4734"/>
    <cellStyle name="Warning Text 3 22" xfId="4735"/>
    <cellStyle name="Warning Text 3 23" xfId="4736"/>
    <cellStyle name="Warning Text 3 24" xfId="4737"/>
    <cellStyle name="Warning Text 3 3" xfId="4738"/>
    <cellStyle name="Warning Text 3 4" xfId="4739"/>
    <cellStyle name="Warning Text 3 5" xfId="4740"/>
    <cellStyle name="Warning Text 3 6" xfId="4741"/>
    <cellStyle name="Warning Text 3 7" xfId="4742"/>
    <cellStyle name="Warning Text 3 8" xfId="4743"/>
    <cellStyle name="Warning Text 3 9" xfId="4744"/>
    <cellStyle name="Warning Text 4" xfId="4745"/>
    <cellStyle name="Warning Text 4 10" xfId="4746"/>
    <cellStyle name="Warning Text 4 11" xfId="4747"/>
    <cellStyle name="Warning Text 4 12" xfId="4748"/>
    <cellStyle name="Warning Text 4 13" xfId="4749"/>
    <cellStyle name="Warning Text 4 14" xfId="4750"/>
    <cellStyle name="Warning Text 4 15" xfId="4751"/>
    <cellStyle name="Warning Text 4 16" xfId="4752"/>
    <cellStyle name="Warning Text 4 17" xfId="4753"/>
    <cellStyle name="Warning Text 4 18" xfId="4754"/>
    <cellStyle name="Warning Text 4 19" xfId="4755"/>
    <cellStyle name="Warning Text 4 2" xfId="4756"/>
    <cellStyle name="Warning Text 4 20" xfId="4757"/>
    <cellStyle name="Warning Text 4 21" xfId="4758"/>
    <cellStyle name="Warning Text 4 3" xfId="4759"/>
    <cellStyle name="Warning Text 4 4" xfId="4760"/>
    <cellStyle name="Warning Text 4 5" xfId="4761"/>
    <cellStyle name="Warning Text 4 6" xfId="4762"/>
    <cellStyle name="Warning Text 4 7" xfId="4763"/>
    <cellStyle name="Warning Text 4 8" xfId="4764"/>
    <cellStyle name="Warning Text 4 9" xfId="4765"/>
    <cellStyle name="Warning Text 5" xfId="4766"/>
    <cellStyle name="Warning Text 6" xfId="4767"/>
    <cellStyle name="Warning Text 7" xfId="4768"/>
    <cellStyle name="Warning Text 8" xfId="4769"/>
    <cellStyle name="Warning Text 8 4" xfId="4770"/>
    <cellStyle name="Warning Text 9" xfId="4771"/>
    <cellStyle name="Zarez 10" xfId="4772"/>
    <cellStyle name="Zarez 10 2" xfId="4773"/>
    <cellStyle name="Zarez 10 3" xfId="4774"/>
    <cellStyle name="Zarez 11" xfId="4775"/>
    <cellStyle name="Zarez 11 2" xfId="4776"/>
    <cellStyle name="Zarez 12" xfId="4777"/>
    <cellStyle name="Zarez 12 2" xfId="4778"/>
    <cellStyle name="Zarez 13" xfId="4779"/>
    <cellStyle name="Zarez 13 2" xfId="4780"/>
    <cellStyle name="Zarez 14" xfId="4781"/>
    <cellStyle name="Zarez 18" xfId="4782"/>
    <cellStyle name="Zarez 18 2" xfId="4783"/>
    <cellStyle name="Zarez 2" xfId="4784"/>
    <cellStyle name="Zarez 2 10" xfId="4785"/>
    <cellStyle name="Zarez 2 10 2" xfId="4786"/>
    <cellStyle name="Zarez 2 10 3" xfId="4787"/>
    <cellStyle name="Zarez 2 11" xfId="4788"/>
    <cellStyle name="Zarez 2 11 2" xfId="4789"/>
    <cellStyle name="Zarez 2 11 3" xfId="4790"/>
    <cellStyle name="Zarez 2 12" xfId="4791"/>
    <cellStyle name="Zarez 2 12 2" xfId="4792"/>
    <cellStyle name="Zarez 2 12 3" xfId="4793"/>
    <cellStyle name="Zarez 2 13" xfId="4794"/>
    <cellStyle name="Zarez 2 13 2" xfId="4795"/>
    <cellStyle name="Zarez 2 13 3" xfId="4796"/>
    <cellStyle name="Zarez 2 14" xfId="4797"/>
    <cellStyle name="Zarez 2 14 2" xfId="4798"/>
    <cellStyle name="Zarez 2 14 3" xfId="4799"/>
    <cellStyle name="Zarez 2 15" xfId="4800"/>
    <cellStyle name="Zarez 2 15 2" xfId="4801"/>
    <cellStyle name="Zarez 2 15 3" xfId="4802"/>
    <cellStyle name="Zarez 2 16" xfId="4803"/>
    <cellStyle name="Zarez 2 17" xfId="4804"/>
    <cellStyle name="Zarez 2 17 2" xfId="4805"/>
    <cellStyle name="Zarez 2 2" xfId="4806"/>
    <cellStyle name="Zarez 2 2 2" xfId="4807"/>
    <cellStyle name="Zarez 2 2 3" xfId="4808"/>
    <cellStyle name="Zarez 2 2 4" xfId="4809"/>
    <cellStyle name="Zarez 2 2 4 2" xfId="4810"/>
    <cellStyle name="Zarez 2 2 5" xfId="4811"/>
    <cellStyle name="Zarez 2 3" xfId="4812"/>
    <cellStyle name="Zarez 2 3 2" xfId="4813"/>
    <cellStyle name="Zarez 2 3 3" xfId="4814"/>
    <cellStyle name="Zarez 2 3 4" xfId="4815"/>
    <cellStyle name="Zarez 2 3 4 2" xfId="4816"/>
    <cellStyle name="Zarez 2 4" xfId="4817"/>
    <cellStyle name="Zarez 2 4 2" xfId="4818"/>
    <cellStyle name="Zarez 2 4 3" xfId="4819"/>
    <cellStyle name="Zarez 2 4 4" xfId="4820"/>
    <cellStyle name="Zarez 2 4 4 2" xfId="4821"/>
    <cellStyle name="Zarez 2 5" xfId="4822"/>
    <cellStyle name="Zarez 2 5 2" xfId="4823"/>
    <cellStyle name="Zarez 2 5 3" xfId="4824"/>
    <cellStyle name="Zarez 2 5 4" xfId="4825"/>
    <cellStyle name="Zarez 2 6" xfId="4826"/>
    <cellStyle name="Zarez 2 6 2" xfId="4827"/>
    <cellStyle name="Zarez 2 6 3" xfId="4828"/>
    <cellStyle name="Zarez 2 7" xfId="4829"/>
    <cellStyle name="Zarez 2 7 2" xfId="4830"/>
    <cellStyle name="Zarez 2 7 3" xfId="4831"/>
    <cellStyle name="Zarez 2 8" xfId="4832"/>
    <cellStyle name="Zarez 2 8 2" xfId="4833"/>
    <cellStyle name="Zarez 2 8 3" xfId="4834"/>
    <cellStyle name="Zarez 2 9" xfId="4835"/>
    <cellStyle name="Zarez 2 9 2" xfId="4836"/>
    <cellStyle name="Zarez 2 9 3" xfId="4837"/>
    <cellStyle name="Zarez 2_Knjiga 5 TROŠKOVNIK Instalaterski radovi dio 1" xfId="4838"/>
    <cellStyle name="Zarez 3" xfId="4839"/>
    <cellStyle name="Zarez 3 2" xfId="4840"/>
    <cellStyle name="Zarez 3 2 2" xfId="4841"/>
    <cellStyle name="Zarez 3 2 2 2" xfId="4842"/>
    <cellStyle name="Zarez 3 2 3" xfId="4843"/>
    <cellStyle name="Zarez 3 3" xfId="4844"/>
    <cellStyle name="Zarez 3 4" xfId="4845"/>
    <cellStyle name="Zarez 3 4 2" xfId="4846"/>
    <cellStyle name="Zarez 3_Knjiga 5 TROŠKOVNIK Instalaterski radovi dio 1" xfId="4847"/>
    <cellStyle name="Zarez 4" xfId="4848"/>
    <cellStyle name="Zarez 4 2" xfId="4849"/>
    <cellStyle name="Zarez 4 2 2" xfId="4850"/>
    <cellStyle name="Zarez 4 3" xfId="4851"/>
    <cellStyle name="Zarez 5" xfId="4852"/>
    <cellStyle name="Zarez 5 2" xfId="4853"/>
    <cellStyle name="Zarez 5 2 2" xfId="4854"/>
    <cellStyle name="Zarez 5 3" xfId="4855"/>
    <cellStyle name="Zarez 5 3 2" xfId="4856"/>
    <cellStyle name="Zarez 6" xfId="4857"/>
    <cellStyle name="Zarez 6 2" xfId="4858"/>
    <cellStyle name="Zarez 7" xfId="4859"/>
    <cellStyle name="Zarez 8" xfId="4860"/>
    <cellStyle name="Zarez 9" xfId="4861"/>
    <cellStyle name="Zarez 9 2" xfId="4862"/>
    <cellStyle name="Zelle überprüfen" xfId="4863"/>
    <cellStyle name="Zelle überprüfen 2" xfId="4864"/>
  </cellStyles>
  <dxfs count="4">
    <dxf>
      <font>
        <color theme="0"/>
      </font>
    </dxf>
    <dxf>
      <font>
        <condense val="0"/>
        <extend val="0"/>
        <color indexed="9"/>
      </font>
    </dxf>
    <dxf>
      <font>
        <strike val="0"/>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269</xdr:row>
      <xdr:rowOff>0</xdr:rowOff>
    </xdr:from>
    <xdr:to>
      <xdr:col>2</xdr:col>
      <xdr:colOff>533400</xdr:colOff>
      <xdr:row>270</xdr:row>
      <xdr:rowOff>63500</xdr:rowOff>
    </xdr:to>
    <xdr:sp macro="" textlink="">
      <xdr:nvSpPr>
        <xdr:cNvPr id="2" name="TextBox 1">
          <a:extLst>
            <a:ext uri="{FF2B5EF4-FFF2-40B4-BE49-F238E27FC236}">
              <a16:creationId xmlns:a16="http://schemas.microsoft.com/office/drawing/2014/main" xmlns="" id="{10B36851-17B8-4BF1-8BEB-789962130440}"/>
            </a:ext>
          </a:extLst>
        </xdr:cNvPr>
        <xdr:cNvSpPr txBox="1">
          <a:spLocks noChangeArrowheads="1"/>
        </xdr:cNvSpPr>
      </xdr:nvSpPr>
      <xdr:spPr bwMode="auto">
        <a:xfrm>
          <a:off x="3362325" y="49815750"/>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270</xdr:row>
      <xdr:rowOff>63500</xdr:rowOff>
    </xdr:to>
    <xdr:sp macro="" textlink="">
      <xdr:nvSpPr>
        <xdr:cNvPr id="3" name="TextBox 2">
          <a:extLst>
            <a:ext uri="{FF2B5EF4-FFF2-40B4-BE49-F238E27FC236}">
              <a16:creationId xmlns:a16="http://schemas.microsoft.com/office/drawing/2014/main" xmlns="" id="{C5F3ADF3-6462-4045-85CC-1F34BE1E454B}"/>
            </a:ext>
          </a:extLst>
        </xdr:cNvPr>
        <xdr:cNvSpPr txBox="1">
          <a:spLocks noChangeArrowheads="1"/>
        </xdr:cNvSpPr>
      </xdr:nvSpPr>
      <xdr:spPr bwMode="auto">
        <a:xfrm>
          <a:off x="3362325" y="49815750"/>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295275</xdr:colOff>
      <xdr:row>269</xdr:row>
      <xdr:rowOff>0</xdr:rowOff>
    </xdr:from>
    <xdr:to>
      <xdr:col>2</xdr:col>
      <xdr:colOff>485775</xdr:colOff>
      <xdr:row>270</xdr:row>
      <xdr:rowOff>63500</xdr:rowOff>
    </xdr:to>
    <xdr:sp macro="" textlink="">
      <xdr:nvSpPr>
        <xdr:cNvPr id="4" name="TextBox 1">
          <a:extLst>
            <a:ext uri="{FF2B5EF4-FFF2-40B4-BE49-F238E27FC236}">
              <a16:creationId xmlns:a16="http://schemas.microsoft.com/office/drawing/2014/main" xmlns="" id="{D356D59C-9B05-472D-BA6B-27FFA04D5D90}"/>
            </a:ext>
          </a:extLst>
        </xdr:cNvPr>
        <xdr:cNvSpPr txBox="1">
          <a:spLocks noChangeArrowheads="1"/>
        </xdr:cNvSpPr>
      </xdr:nvSpPr>
      <xdr:spPr bwMode="auto">
        <a:xfrm>
          <a:off x="3314700" y="49815750"/>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270</xdr:row>
      <xdr:rowOff>63500</xdr:rowOff>
    </xdr:to>
    <xdr:sp macro="" textlink="">
      <xdr:nvSpPr>
        <xdr:cNvPr id="5" name="TextBox 1">
          <a:extLst>
            <a:ext uri="{FF2B5EF4-FFF2-40B4-BE49-F238E27FC236}">
              <a16:creationId xmlns:a16="http://schemas.microsoft.com/office/drawing/2014/main" xmlns="" id="{0D82782A-A55A-4C99-B65B-A60E2F80612E}"/>
            </a:ext>
          </a:extLst>
        </xdr:cNvPr>
        <xdr:cNvSpPr txBox="1">
          <a:spLocks noChangeArrowheads="1"/>
        </xdr:cNvSpPr>
      </xdr:nvSpPr>
      <xdr:spPr bwMode="auto">
        <a:xfrm>
          <a:off x="3362325" y="49815750"/>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269</xdr:row>
      <xdr:rowOff>161925</xdr:rowOff>
    </xdr:to>
    <xdr:sp macro="" textlink="">
      <xdr:nvSpPr>
        <xdr:cNvPr id="6" name="TextBox 1">
          <a:extLst>
            <a:ext uri="{FF2B5EF4-FFF2-40B4-BE49-F238E27FC236}">
              <a16:creationId xmlns:a16="http://schemas.microsoft.com/office/drawing/2014/main" xmlns="" id="{8F5E5D9C-722E-4FAE-A1DE-F8A71B5D3513}"/>
            </a:ext>
          </a:extLst>
        </xdr:cNvPr>
        <xdr:cNvSpPr txBox="1">
          <a:spLocks noChangeArrowheads="1"/>
        </xdr:cNvSpPr>
      </xdr:nvSpPr>
      <xdr:spPr bwMode="auto">
        <a:xfrm>
          <a:off x="3362325" y="49815750"/>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270</xdr:row>
      <xdr:rowOff>63500</xdr:rowOff>
    </xdr:to>
    <xdr:sp macro="" textlink="">
      <xdr:nvSpPr>
        <xdr:cNvPr id="7" name="TextBox 1">
          <a:extLst>
            <a:ext uri="{FF2B5EF4-FFF2-40B4-BE49-F238E27FC236}">
              <a16:creationId xmlns:a16="http://schemas.microsoft.com/office/drawing/2014/main" xmlns="" id="{B3ED4E6E-12A1-43A3-A434-39C9D2E62856}"/>
            </a:ext>
          </a:extLst>
        </xdr:cNvPr>
        <xdr:cNvSpPr txBox="1">
          <a:spLocks noChangeArrowheads="1"/>
        </xdr:cNvSpPr>
      </xdr:nvSpPr>
      <xdr:spPr bwMode="auto">
        <a:xfrm>
          <a:off x="3362325" y="49815750"/>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269</xdr:row>
      <xdr:rowOff>161925</xdr:rowOff>
    </xdr:to>
    <xdr:sp macro="" textlink="">
      <xdr:nvSpPr>
        <xdr:cNvPr id="8" name="TextBox 1">
          <a:extLst>
            <a:ext uri="{FF2B5EF4-FFF2-40B4-BE49-F238E27FC236}">
              <a16:creationId xmlns:a16="http://schemas.microsoft.com/office/drawing/2014/main" xmlns="" id="{7C7BFF52-276E-48B2-9EBF-C87E6ECEE0CD}"/>
            </a:ext>
          </a:extLst>
        </xdr:cNvPr>
        <xdr:cNvSpPr txBox="1">
          <a:spLocks noChangeArrowheads="1"/>
        </xdr:cNvSpPr>
      </xdr:nvSpPr>
      <xdr:spPr bwMode="auto">
        <a:xfrm>
          <a:off x="3362325" y="49815750"/>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269</xdr:row>
      <xdr:rowOff>161925</xdr:rowOff>
    </xdr:to>
    <xdr:sp macro="" textlink="">
      <xdr:nvSpPr>
        <xdr:cNvPr id="9" name="TextBox 1">
          <a:extLst>
            <a:ext uri="{FF2B5EF4-FFF2-40B4-BE49-F238E27FC236}">
              <a16:creationId xmlns:a16="http://schemas.microsoft.com/office/drawing/2014/main" xmlns="" id="{A7FF7D7D-477E-4E64-8A77-D5219813660D}"/>
            </a:ext>
          </a:extLst>
        </xdr:cNvPr>
        <xdr:cNvSpPr txBox="1">
          <a:spLocks noChangeArrowheads="1"/>
        </xdr:cNvSpPr>
      </xdr:nvSpPr>
      <xdr:spPr bwMode="auto">
        <a:xfrm>
          <a:off x="3362325" y="49815750"/>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270</xdr:row>
      <xdr:rowOff>63500</xdr:rowOff>
    </xdr:to>
    <xdr:sp macro="" textlink="">
      <xdr:nvSpPr>
        <xdr:cNvPr id="10" name="TextBox 1">
          <a:extLst>
            <a:ext uri="{FF2B5EF4-FFF2-40B4-BE49-F238E27FC236}">
              <a16:creationId xmlns:a16="http://schemas.microsoft.com/office/drawing/2014/main" xmlns="" id="{37CAC06C-0488-4F1D-9CC1-00B13CAFF3FC}"/>
            </a:ext>
          </a:extLst>
        </xdr:cNvPr>
        <xdr:cNvSpPr txBox="1">
          <a:spLocks noChangeArrowheads="1"/>
        </xdr:cNvSpPr>
      </xdr:nvSpPr>
      <xdr:spPr bwMode="auto">
        <a:xfrm>
          <a:off x="3362325" y="49815750"/>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517525</xdr:colOff>
      <xdr:row>269</xdr:row>
      <xdr:rowOff>0</xdr:rowOff>
    </xdr:from>
    <xdr:to>
      <xdr:col>3</xdr:col>
      <xdr:colOff>133256</xdr:colOff>
      <xdr:row>269</xdr:row>
      <xdr:rowOff>63500</xdr:rowOff>
    </xdr:to>
    <xdr:sp macro="" textlink="">
      <xdr:nvSpPr>
        <xdr:cNvPr id="11" name="TextBox 10">
          <a:extLst>
            <a:ext uri="{FF2B5EF4-FFF2-40B4-BE49-F238E27FC236}">
              <a16:creationId xmlns:a16="http://schemas.microsoft.com/office/drawing/2014/main" xmlns="" id="{7B82537F-84A7-4EEC-AA71-2BF6196C3F19}"/>
            </a:ext>
          </a:extLst>
        </xdr:cNvPr>
        <xdr:cNvSpPr txBox="1">
          <a:spLocks noChangeArrowheads="1"/>
        </xdr:cNvSpPr>
      </xdr:nvSpPr>
      <xdr:spPr bwMode="auto">
        <a:xfrm>
          <a:off x="3536950" y="49815750"/>
          <a:ext cx="188912" cy="63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269</xdr:row>
      <xdr:rowOff>158750</xdr:rowOff>
    </xdr:to>
    <xdr:sp macro="" textlink="">
      <xdr:nvSpPr>
        <xdr:cNvPr id="12" name="TextBox 1">
          <a:extLst>
            <a:ext uri="{FF2B5EF4-FFF2-40B4-BE49-F238E27FC236}">
              <a16:creationId xmlns:a16="http://schemas.microsoft.com/office/drawing/2014/main" xmlns="" id="{2232BF22-2C4E-4F0D-9A45-261493EEDDF7}"/>
            </a:ext>
          </a:extLst>
        </xdr:cNvPr>
        <xdr:cNvSpPr txBox="1">
          <a:spLocks noChangeArrowheads="1"/>
        </xdr:cNvSpPr>
      </xdr:nvSpPr>
      <xdr:spPr bwMode="auto">
        <a:xfrm>
          <a:off x="3362325" y="49815750"/>
          <a:ext cx="190500" cy="158750"/>
        </a:xfrm>
        <a:prstGeom prst="rect">
          <a:avLst/>
        </a:prstGeom>
        <a:noFill/>
        <a:ln w="9525">
          <a:noFill/>
          <a:miter lim="800000"/>
          <a:headEnd/>
          <a:tailEnd/>
        </a:ln>
      </xdr:spPr>
    </xdr:sp>
    <xdr:clientData/>
  </xdr:twoCellAnchor>
  <xdr:twoCellAnchor editAs="oneCell">
    <xdr:from>
      <xdr:col>2</xdr:col>
      <xdr:colOff>342900</xdr:colOff>
      <xdr:row>269</xdr:row>
      <xdr:rowOff>0</xdr:rowOff>
    </xdr:from>
    <xdr:to>
      <xdr:col>2</xdr:col>
      <xdr:colOff>533400</xdr:colOff>
      <xdr:row>269</xdr:row>
      <xdr:rowOff>161925</xdr:rowOff>
    </xdr:to>
    <xdr:sp macro="" textlink="">
      <xdr:nvSpPr>
        <xdr:cNvPr id="13" name="TextBox 1">
          <a:extLst>
            <a:ext uri="{FF2B5EF4-FFF2-40B4-BE49-F238E27FC236}">
              <a16:creationId xmlns:a16="http://schemas.microsoft.com/office/drawing/2014/main" xmlns="" id="{7159B5E4-1516-4F4B-9ABD-B4A324BE7AC8}"/>
            </a:ext>
          </a:extLst>
        </xdr:cNvPr>
        <xdr:cNvSpPr txBox="1">
          <a:spLocks noChangeArrowheads="1"/>
        </xdr:cNvSpPr>
      </xdr:nvSpPr>
      <xdr:spPr bwMode="auto">
        <a:xfrm>
          <a:off x="3362325" y="49815750"/>
          <a:ext cx="190500" cy="161925"/>
        </a:xfrm>
        <a:prstGeom prst="rect">
          <a:avLst/>
        </a:prstGeom>
        <a:noFill/>
        <a:ln w="9525">
          <a:noFill/>
          <a:miter lim="800000"/>
          <a:headEnd/>
          <a:tailEnd/>
        </a:ln>
      </xdr:spPr>
    </xdr:sp>
    <xdr:clientData/>
  </xdr:twoCellAnchor>
  <xdr:twoCellAnchor editAs="oneCell">
    <xdr:from>
      <xdr:col>2</xdr:col>
      <xdr:colOff>342900</xdr:colOff>
      <xdr:row>269</xdr:row>
      <xdr:rowOff>0</xdr:rowOff>
    </xdr:from>
    <xdr:to>
      <xdr:col>2</xdr:col>
      <xdr:colOff>533400</xdr:colOff>
      <xdr:row>269</xdr:row>
      <xdr:rowOff>158750</xdr:rowOff>
    </xdr:to>
    <xdr:sp macro="" textlink="">
      <xdr:nvSpPr>
        <xdr:cNvPr id="14" name="TextBox 1">
          <a:extLst>
            <a:ext uri="{FF2B5EF4-FFF2-40B4-BE49-F238E27FC236}">
              <a16:creationId xmlns:a16="http://schemas.microsoft.com/office/drawing/2014/main" xmlns="" id="{2F3A9D5E-8748-448E-AAE0-C75DA2AC7316}"/>
            </a:ext>
          </a:extLst>
        </xdr:cNvPr>
        <xdr:cNvSpPr txBox="1">
          <a:spLocks noChangeArrowheads="1"/>
        </xdr:cNvSpPr>
      </xdr:nvSpPr>
      <xdr:spPr bwMode="auto">
        <a:xfrm>
          <a:off x="3362325" y="49815750"/>
          <a:ext cx="190500" cy="158750"/>
        </a:xfrm>
        <a:prstGeom prst="rect">
          <a:avLst/>
        </a:prstGeom>
        <a:noFill/>
        <a:ln w="9525">
          <a:noFill/>
          <a:miter lim="800000"/>
          <a:headEnd/>
          <a:tailEnd/>
        </a:ln>
      </xdr:spPr>
    </xdr:sp>
    <xdr:clientData/>
  </xdr:twoCellAnchor>
  <xdr:twoCellAnchor editAs="oneCell">
    <xdr:from>
      <xdr:col>2</xdr:col>
      <xdr:colOff>342900</xdr:colOff>
      <xdr:row>269</xdr:row>
      <xdr:rowOff>0</xdr:rowOff>
    </xdr:from>
    <xdr:to>
      <xdr:col>2</xdr:col>
      <xdr:colOff>533400</xdr:colOff>
      <xdr:row>269</xdr:row>
      <xdr:rowOff>158750</xdr:rowOff>
    </xdr:to>
    <xdr:sp macro="" textlink="">
      <xdr:nvSpPr>
        <xdr:cNvPr id="15" name="TextBox 1">
          <a:extLst>
            <a:ext uri="{FF2B5EF4-FFF2-40B4-BE49-F238E27FC236}">
              <a16:creationId xmlns:a16="http://schemas.microsoft.com/office/drawing/2014/main" xmlns="" id="{3FE38492-3C2E-499D-B94D-215F08B77FF8}"/>
            </a:ext>
          </a:extLst>
        </xdr:cNvPr>
        <xdr:cNvSpPr txBox="1">
          <a:spLocks noChangeArrowheads="1"/>
        </xdr:cNvSpPr>
      </xdr:nvSpPr>
      <xdr:spPr bwMode="auto">
        <a:xfrm>
          <a:off x="3362325" y="49815750"/>
          <a:ext cx="190500" cy="158750"/>
        </a:xfrm>
        <a:prstGeom prst="rect">
          <a:avLst/>
        </a:prstGeom>
        <a:noFill/>
        <a:ln w="9525">
          <a:noFill/>
          <a:miter lim="800000"/>
          <a:headEnd/>
          <a:tailEnd/>
        </a:ln>
      </xdr:spPr>
    </xdr:sp>
    <xdr:clientData/>
  </xdr:twoCellAnchor>
  <xdr:twoCellAnchor editAs="oneCell">
    <xdr:from>
      <xdr:col>2</xdr:col>
      <xdr:colOff>342900</xdr:colOff>
      <xdr:row>269</xdr:row>
      <xdr:rowOff>0</xdr:rowOff>
    </xdr:from>
    <xdr:to>
      <xdr:col>2</xdr:col>
      <xdr:colOff>533400</xdr:colOff>
      <xdr:row>269</xdr:row>
      <xdr:rowOff>158750</xdr:rowOff>
    </xdr:to>
    <xdr:sp macro="" textlink="">
      <xdr:nvSpPr>
        <xdr:cNvPr id="16" name="TextBox 1">
          <a:extLst>
            <a:ext uri="{FF2B5EF4-FFF2-40B4-BE49-F238E27FC236}">
              <a16:creationId xmlns:a16="http://schemas.microsoft.com/office/drawing/2014/main" xmlns="" id="{855FA83E-02C4-4FEA-B69C-1D4171EA92EC}"/>
            </a:ext>
          </a:extLst>
        </xdr:cNvPr>
        <xdr:cNvSpPr txBox="1">
          <a:spLocks noChangeArrowheads="1"/>
        </xdr:cNvSpPr>
      </xdr:nvSpPr>
      <xdr:spPr bwMode="auto">
        <a:xfrm>
          <a:off x="3362325" y="49815750"/>
          <a:ext cx="190500" cy="158750"/>
        </a:xfrm>
        <a:prstGeom prst="rect">
          <a:avLst/>
        </a:prstGeom>
        <a:noFill/>
        <a:ln w="9525">
          <a:noFill/>
          <a:miter lim="800000"/>
          <a:headEnd/>
          <a:tailEnd/>
        </a:ln>
      </xdr:spPr>
    </xdr:sp>
    <xdr:clientData/>
  </xdr:twoCellAnchor>
  <xdr:twoCellAnchor editAs="oneCell">
    <xdr:from>
      <xdr:col>2</xdr:col>
      <xdr:colOff>342900</xdr:colOff>
      <xdr:row>269</xdr:row>
      <xdr:rowOff>0</xdr:rowOff>
    </xdr:from>
    <xdr:to>
      <xdr:col>2</xdr:col>
      <xdr:colOff>533400</xdr:colOff>
      <xdr:row>269</xdr:row>
      <xdr:rowOff>161925</xdr:rowOff>
    </xdr:to>
    <xdr:sp macro="" textlink="">
      <xdr:nvSpPr>
        <xdr:cNvPr id="17" name="TextBox 1">
          <a:extLst>
            <a:ext uri="{FF2B5EF4-FFF2-40B4-BE49-F238E27FC236}">
              <a16:creationId xmlns:a16="http://schemas.microsoft.com/office/drawing/2014/main" xmlns="" id="{FB34D78E-EDE4-44A7-96CE-D0CFCF83906A}"/>
            </a:ext>
          </a:extLst>
        </xdr:cNvPr>
        <xdr:cNvSpPr txBox="1">
          <a:spLocks noChangeArrowheads="1"/>
        </xdr:cNvSpPr>
      </xdr:nvSpPr>
      <xdr:spPr bwMode="auto">
        <a:xfrm>
          <a:off x="3362325" y="49815750"/>
          <a:ext cx="190500" cy="161925"/>
        </a:xfrm>
        <a:prstGeom prst="rect">
          <a:avLst/>
        </a:prstGeom>
        <a:noFill/>
        <a:ln w="9525">
          <a:noFill/>
          <a:miter lim="800000"/>
          <a:headEnd/>
          <a:tailEnd/>
        </a:ln>
      </xdr:spPr>
    </xdr:sp>
    <xdr:clientData/>
  </xdr:twoCellAnchor>
  <xdr:twoCellAnchor editAs="oneCell">
    <xdr:from>
      <xdr:col>2</xdr:col>
      <xdr:colOff>342900</xdr:colOff>
      <xdr:row>269</xdr:row>
      <xdr:rowOff>0</xdr:rowOff>
    </xdr:from>
    <xdr:to>
      <xdr:col>2</xdr:col>
      <xdr:colOff>533400</xdr:colOff>
      <xdr:row>269</xdr:row>
      <xdr:rowOff>158750</xdr:rowOff>
    </xdr:to>
    <xdr:sp macro="" textlink="">
      <xdr:nvSpPr>
        <xdr:cNvPr id="18" name="TextBox 1">
          <a:extLst>
            <a:ext uri="{FF2B5EF4-FFF2-40B4-BE49-F238E27FC236}">
              <a16:creationId xmlns:a16="http://schemas.microsoft.com/office/drawing/2014/main" xmlns="" id="{15606045-107B-4A54-92C0-EA294EE2A320}"/>
            </a:ext>
          </a:extLst>
        </xdr:cNvPr>
        <xdr:cNvSpPr txBox="1">
          <a:spLocks noChangeArrowheads="1"/>
        </xdr:cNvSpPr>
      </xdr:nvSpPr>
      <xdr:spPr bwMode="auto">
        <a:xfrm>
          <a:off x="3362325" y="49815750"/>
          <a:ext cx="190500" cy="158750"/>
        </a:xfrm>
        <a:prstGeom prst="rect">
          <a:avLst/>
        </a:prstGeom>
        <a:noFill/>
        <a:ln w="9525">
          <a:noFill/>
          <a:miter lim="800000"/>
          <a:headEnd/>
          <a:tailEnd/>
        </a:ln>
      </xdr:spPr>
    </xdr:sp>
    <xdr:clientData/>
  </xdr:twoCellAnchor>
  <xdr:twoCellAnchor editAs="oneCell">
    <xdr:from>
      <xdr:col>2</xdr:col>
      <xdr:colOff>342900</xdr:colOff>
      <xdr:row>269</xdr:row>
      <xdr:rowOff>0</xdr:rowOff>
    </xdr:from>
    <xdr:to>
      <xdr:col>2</xdr:col>
      <xdr:colOff>533400</xdr:colOff>
      <xdr:row>269</xdr:row>
      <xdr:rowOff>158750</xdr:rowOff>
    </xdr:to>
    <xdr:sp macro="" textlink="">
      <xdr:nvSpPr>
        <xdr:cNvPr id="19" name="TextBox 1">
          <a:extLst>
            <a:ext uri="{FF2B5EF4-FFF2-40B4-BE49-F238E27FC236}">
              <a16:creationId xmlns:a16="http://schemas.microsoft.com/office/drawing/2014/main" xmlns="" id="{2FAC6279-A25D-4E36-BE9A-38573814C90E}"/>
            </a:ext>
          </a:extLst>
        </xdr:cNvPr>
        <xdr:cNvSpPr txBox="1">
          <a:spLocks noChangeArrowheads="1"/>
        </xdr:cNvSpPr>
      </xdr:nvSpPr>
      <xdr:spPr bwMode="auto">
        <a:xfrm>
          <a:off x="3362325" y="49815750"/>
          <a:ext cx="190500" cy="158750"/>
        </a:xfrm>
        <a:prstGeom prst="rect">
          <a:avLst/>
        </a:prstGeom>
        <a:noFill/>
        <a:ln w="9525">
          <a:noFill/>
          <a:miter lim="800000"/>
          <a:headEnd/>
          <a:tailEnd/>
        </a:ln>
      </xdr:spPr>
    </xdr:sp>
    <xdr:clientData/>
  </xdr:twoCellAnchor>
  <xdr:twoCellAnchor editAs="oneCell">
    <xdr:from>
      <xdr:col>2</xdr:col>
      <xdr:colOff>342900</xdr:colOff>
      <xdr:row>269</xdr:row>
      <xdr:rowOff>0</xdr:rowOff>
    </xdr:from>
    <xdr:to>
      <xdr:col>2</xdr:col>
      <xdr:colOff>533400</xdr:colOff>
      <xdr:row>269</xdr:row>
      <xdr:rowOff>161925</xdr:rowOff>
    </xdr:to>
    <xdr:sp macro="" textlink="">
      <xdr:nvSpPr>
        <xdr:cNvPr id="20" name="TextBox 1">
          <a:extLst>
            <a:ext uri="{FF2B5EF4-FFF2-40B4-BE49-F238E27FC236}">
              <a16:creationId xmlns:a16="http://schemas.microsoft.com/office/drawing/2014/main" xmlns="" id="{DA001F55-9F3D-420E-B890-F852CEFDEEF5}"/>
            </a:ext>
          </a:extLst>
        </xdr:cNvPr>
        <xdr:cNvSpPr txBox="1">
          <a:spLocks noChangeArrowheads="1"/>
        </xdr:cNvSpPr>
      </xdr:nvSpPr>
      <xdr:spPr bwMode="auto">
        <a:xfrm>
          <a:off x="3362325" y="49815750"/>
          <a:ext cx="190500" cy="161925"/>
        </a:xfrm>
        <a:prstGeom prst="rect">
          <a:avLst/>
        </a:prstGeom>
        <a:noFill/>
        <a:ln w="9525">
          <a:noFill/>
          <a:miter lim="800000"/>
          <a:headEnd/>
          <a:tailEnd/>
        </a:ln>
      </xdr:spPr>
    </xdr:sp>
    <xdr:clientData/>
  </xdr:twoCellAnchor>
  <xdr:twoCellAnchor editAs="oneCell">
    <xdr:from>
      <xdr:col>2</xdr:col>
      <xdr:colOff>342900</xdr:colOff>
      <xdr:row>269</xdr:row>
      <xdr:rowOff>0</xdr:rowOff>
    </xdr:from>
    <xdr:to>
      <xdr:col>2</xdr:col>
      <xdr:colOff>533400</xdr:colOff>
      <xdr:row>269</xdr:row>
      <xdr:rowOff>161925</xdr:rowOff>
    </xdr:to>
    <xdr:sp macro="" textlink="">
      <xdr:nvSpPr>
        <xdr:cNvPr id="21" name="TextBox 20">
          <a:extLst>
            <a:ext uri="{FF2B5EF4-FFF2-40B4-BE49-F238E27FC236}">
              <a16:creationId xmlns:a16="http://schemas.microsoft.com/office/drawing/2014/main" xmlns="" id="{64966870-A388-4F13-82FE-2462D511A850}"/>
            </a:ext>
          </a:extLst>
        </xdr:cNvPr>
        <xdr:cNvSpPr txBox="1">
          <a:spLocks noChangeArrowheads="1"/>
        </xdr:cNvSpPr>
      </xdr:nvSpPr>
      <xdr:spPr bwMode="auto">
        <a:xfrm>
          <a:off x="3362325" y="49815750"/>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269</xdr:row>
      <xdr:rowOff>161925</xdr:rowOff>
    </xdr:to>
    <xdr:sp macro="" textlink="">
      <xdr:nvSpPr>
        <xdr:cNvPr id="22" name="TextBox 1">
          <a:extLst>
            <a:ext uri="{FF2B5EF4-FFF2-40B4-BE49-F238E27FC236}">
              <a16:creationId xmlns:a16="http://schemas.microsoft.com/office/drawing/2014/main" xmlns="" id="{CC9B7280-0C0D-4F63-AEFB-443EA4AEF95A}"/>
            </a:ext>
          </a:extLst>
        </xdr:cNvPr>
        <xdr:cNvSpPr txBox="1">
          <a:spLocks noChangeArrowheads="1"/>
        </xdr:cNvSpPr>
      </xdr:nvSpPr>
      <xdr:spPr bwMode="auto">
        <a:xfrm>
          <a:off x="3362325" y="49815750"/>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269</xdr:row>
      <xdr:rowOff>0</xdr:rowOff>
    </xdr:from>
    <xdr:to>
      <xdr:col>2</xdr:col>
      <xdr:colOff>533400</xdr:colOff>
      <xdr:row>269</xdr:row>
      <xdr:rowOff>161925</xdr:rowOff>
    </xdr:to>
    <xdr:sp macro="" textlink="">
      <xdr:nvSpPr>
        <xdr:cNvPr id="23" name="TextBox 1">
          <a:extLst>
            <a:ext uri="{FF2B5EF4-FFF2-40B4-BE49-F238E27FC236}">
              <a16:creationId xmlns:a16="http://schemas.microsoft.com/office/drawing/2014/main" xmlns="" id="{78087443-127F-4801-A3B7-C65286F2ED8C}"/>
            </a:ext>
          </a:extLst>
        </xdr:cNvPr>
        <xdr:cNvSpPr txBox="1">
          <a:spLocks noChangeArrowheads="1"/>
        </xdr:cNvSpPr>
      </xdr:nvSpPr>
      <xdr:spPr bwMode="auto">
        <a:xfrm>
          <a:off x="3362325" y="49815750"/>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271</xdr:row>
      <xdr:rowOff>0</xdr:rowOff>
    </xdr:from>
    <xdr:to>
      <xdr:col>2</xdr:col>
      <xdr:colOff>533400</xdr:colOff>
      <xdr:row>271</xdr:row>
      <xdr:rowOff>165100</xdr:rowOff>
    </xdr:to>
    <xdr:sp macro="" textlink="">
      <xdr:nvSpPr>
        <xdr:cNvPr id="24" name="TextBox 23">
          <a:extLst>
            <a:ext uri="{FF2B5EF4-FFF2-40B4-BE49-F238E27FC236}">
              <a16:creationId xmlns:a16="http://schemas.microsoft.com/office/drawing/2014/main" xmlns="" id="{C0702C9A-B133-4505-AEFE-6A2161216235}"/>
            </a:ext>
          </a:extLst>
        </xdr:cNvPr>
        <xdr:cNvSpPr txBox="1">
          <a:spLocks noChangeArrowheads="1"/>
        </xdr:cNvSpPr>
      </xdr:nvSpPr>
      <xdr:spPr bwMode="auto">
        <a:xfrm>
          <a:off x="3362325" y="50130075"/>
          <a:ext cx="190500" cy="165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271</xdr:row>
      <xdr:rowOff>0</xdr:rowOff>
    </xdr:from>
    <xdr:to>
      <xdr:col>2</xdr:col>
      <xdr:colOff>533400</xdr:colOff>
      <xdr:row>271</xdr:row>
      <xdr:rowOff>165100</xdr:rowOff>
    </xdr:to>
    <xdr:sp macro="" textlink="">
      <xdr:nvSpPr>
        <xdr:cNvPr id="25" name="TextBox 1">
          <a:extLst>
            <a:ext uri="{FF2B5EF4-FFF2-40B4-BE49-F238E27FC236}">
              <a16:creationId xmlns:a16="http://schemas.microsoft.com/office/drawing/2014/main" xmlns="" id="{99EABD4D-AEF7-498F-94D6-DF7C94DE9506}"/>
            </a:ext>
          </a:extLst>
        </xdr:cNvPr>
        <xdr:cNvSpPr txBox="1">
          <a:spLocks noChangeArrowheads="1"/>
        </xdr:cNvSpPr>
      </xdr:nvSpPr>
      <xdr:spPr bwMode="auto">
        <a:xfrm>
          <a:off x="3362325" y="50130075"/>
          <a:ext cx="190500" cy="165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271</xdr:row>
      <xdr:rowOff>0</xdr:rowOff>
    </xdr:from>
    <xdr:to>
      <xdr:col>2</xdr:col>
      <xdr:colOff>533400</xdr:colOff>
      <xdr:row>271</xdr:row>
      <xdr:rowOff>161925</xdr:rowOff>
    </xdr:to>
    <xdr:sp macro="" textlink="">
      <xdr:nvSpPr>
        <xdr:cNvPr id="26" name="TextBox 25">
          <a:extLst>
            <a:ext uri="{FF2B5EF4-FFF2-40B4-BE49-F238E27FC236}">
              <a16:creationId xmlns:a16="http://schemas.microsoft.com/office/drawing/2014/main" xmlns="" id="{80A5C5E5-A43F-462F-9100-5C4C91F20D1C}"/>
            </a:ext>
          </a:extLst>
        </xdr:cNvPr>
        <xdr:cNvSpPr txBox="1">
          <a:spLocks noChangeArrowheads="1"/>
        </xdr:cNvSpPr>
      </xdr:nvSpPr>
      <xdr:spPr bwMode="auto">
        <a:xfrm>
          <a:off x="3362325" y="50130075"/>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342900</xdr:colOff>
      <xdr:row>271</xdr:row>
      <xdr:rowOff>0</xdr:rowOff>
    </xdr:from>
    <xdr:to>
      <xdr:col>2</xdr:col>
      <xdr:colOff>533400</xdr:colOff>
      <xdr:row>271</xdr:row>
      <xdr:rowOff>161925</xdr:rowOff>
    </xdr:to>
    <xdr:sp macro="" textlink="">
      <xdr:nvSpPr>
        <xdr:cNvPr id="27" name="TextBox 26">
          <a:extLst>
            <a:ext uri="{FF2B5EF4-FFF2-40B4-BE49-F238E27FC236}">
              <a16:creationId xmlns:a16="http://schemas.microsoft.com/office/drawing/2014/main" xmlns="" id="{972A8BF6-9A1F-49F3-87FB-DCFDF2E55E54}"/>
            </a:ext>
          </a:extLst>
        </xdr:cNvPr>
        <xdr:cNvSpPr txBox="1">
          <a:spLocks noChangeArrowheads="1"/>
        </xdr:cNvSpPr>
      </xdr:nvSpPr>
      <xdr:spPr bwMode="auto">
        <a:xfrm>
          <a:off x="3362325" y="50130075"/>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oneCellAnchor>
    <xdr:from>
      <xdr:col>2</xdr:col>
      <xdr:colOff>342900</xdr:colOff>
      <xdr:row>268</xdr:row>
      <xdr:rowOff>0</xdr:rowOff>
    </xdr:from>
    <xdr:ext cx="190500" cy="254000"/>
    <xdr:sp macro="" textlink="">
      <xdr:nvSpPr>
        <xdr:cNvPr id="29" name="TextBox 28">
          <a:extLst>
            <a:ext uri="{FF2B5EF4-FFF2-40B4-BE49-F238E27FC236}">
              <a16:creationId xmlns:a16="http://schemas.microsoft.com/office/drawing/2014/main" xmlns="" id="{0D14CA13-468C-4F3C-A6A3-A5A08B30AA98}"/>
            </a:ext>
          </a:extLst>
        </xdr:cNvPr>
        <xdr:cNvSpPr txBox="1">
          <a:spLocks noChangeArrowheads="1"/>
        </xdr:cNvSpPr>
      </xdr:nvSpPr>
      <xdr:spPr bwMode="auto">
        <a:xfrm>
          <a:off x="3362325" y="36528375"/>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30" name="TextBox 29">
          <a:extLst>
            <a:ext uri="{FF2B5EF4-FFF2-40B4-BE49-F238E27FC236}">
              <a16:creationId xmlns:a16="http://schemas.microsoft.com/office/drawing/2014/main" xmlns="" id="{A811431B-7AD3-45F7-B46B-ACEE3E255290}"/>
            </a:ext>
          </a:extLst>
        </xdr:cNvPr>
        <xdr:cNvSpPr txBox="1">
          <a:spLocks noChangeArrowheads="1"/>
        </xdr:cNvSpPr>
      </xdr:nvSpPr>
      <xdr:spPr bwMode="auto">
        <a:xfrm>
          <a:off x="3362325" y="36528375"/>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295275</xdr:colOff>
      <xdr:row>268</xdr:row>
      <xdr:rowOff>0</xdr:rowOff>
    </xdr:from>
    <xdr:ext cx="190500" cy="254000"/>
    <xdr:sp macro="" textlink="">
      <xdr:nvSpPr>
        <xdr:cNvPr id="31" name="TextBox 1">
          <a:extLst>
            <a:ext uri="{FF2B5EF4-FFF2-40B4-BE49-F238E27FC236}">
              <a16:creationId xmlns:a16="http://schemas.microsoft.com/office/drawing/2014/main" xmlns="" id="{259B65F3-060F-4C5A-A728-45A397495B0C}"/>
            </a:ext>
          </a:extLst>
        </xdr:cNvPr>
        <xdr:cNvSpPr txBox="1">
          <a:spLocks noChangeArrowheads="1"/>
        </xdr:cNvSpPr>
      </xdr:nvSpPr>
      <xdr:spPr bwMode="auto">
        <a:xfrm>
          <a:off x="3314700" y="36528375"/>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32" name="TextBox 1">
          <a:extLst>
            <a:ext uri="{FF2B5EF4-FFF2-40B4-BE49-F238E27FC236}">
              <a16:creationId xmlns:a16="http://schemas.microsoft.com/office/drawing/2014/main" xmlns="" id="{8B092AE0-209D-4222-816B-E6CEB32C4178}"/>
            </a:ext>
          </a:extLst>
        </xdr:cNvPr>
        <xdr:cNvSpPr txBox="1">
          <a:spLocks noChangeArrowheads="1"/>
        </xdr:cNvSpPr>
      </xdr:nvSpPr>
      <xdr:spPr bwMode="auto">
        <a:xfrm>
          <a:off x="3362325" y="36528375"/>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33" name="TextBox 1">
          <a:extLst>
            <a:ext uri="{FF2B5EF4-FFF2-40B4-BE49-F238E27FC236}">
              <a16:creationId xmlns:a16="http://schemas.microsoft.com/office/drawing/2014/main" xmlns="" id="{CBC62B96-E2E2-40D4-91B4-65A1D0833A5C}"/>
            </a:ext>
          </a:extLst>
        </xdr:cNvPr>
        <xdr:cNvSpPr txBox="1">
          <a:spLocks noChangeArrowheads="1"/>
        </xdr:cNvSpPr>
      </xdr:nvSpPr>
      <xdr:spPr bwMode="auto">
        <a:xfrm>
          <a:off x="3362325" y="36528375"/>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34" name="TextBox 1">
          <a:extLst>
            <a:ext uri="{FF2B5EF4-FFF2-40B4-BE49-F238E27FC236}">
              <a16:creationId xmlns:a16="http://schemas.microsoft.com/office/drawing/2014/main" xmlns="" id="{D8C1FD78-88E6-4BE6-AE39-E9D2BB119BF9}"/>
            </a:ext>
          </a:extLst>
        </xdr:cNvPr>
        <xdr:cNvSpPr txBox="1">
          <a:spLocks noChangeArrowheads="1"/>
        </xdr:cNvSpPr>
      </xdr:nvSpPr>
      <xdr:spPr bwMode="auto">
        <a:xfrm>
          <a:off x="3362325" y="36528375"/>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35" name="TextBox 1">
          <a:extLst>
            <a:ext uri="{FF2B5EF4-FFF2-40B4-BE49-F238E27FC236}">
              <a16:creationId xmlns:a16="http://schemas.microsoft.com/office/drawing/2014/main" xmlns="" id="{6FF190CB-129B-40BA-B853-718539076494}"/>
            </a:ext>
          </a:extLst>
        </xdr:cNvPr>
        <xdr:cNvSpPr txBox="1">
          <a:spLocks noChangeArrowheads="1"/>
        </xdr:cNvSpPr>
      </xdr:nvSpPr>
      <xdr:spPr bwMode="auto">
        <a:xfrm>
          <a:off x="3362325" y="36528375"/>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36" name="TextBox 1">
          <a:extLst>
            <a:ext uri="{FF2B5EF4-FFF2-40B4-BE49-F238E27FC236}">
              <a16:creationId xmlns:a16="http://schemas.microsoft.com/office/drawing/2014/main" xmlns="" id="{EED6B458-4609-40F4-B349-675CC858611D}"/>
            </a:ext>
          </a:extLst>
        </xdr:cNvPr>
        <xdr:cNvSpPr txBox="1">
          <a:spLocks noChangeArrowheads="1"/>
        </xdr:cNvSpPr>
      </xdr:nvSpPr>
      <xdr:spPr bwMode="auto">
        <a:xfrm>
          <a:off x="3362325" y="36528375"/>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37" name="TextBox 1">
          <a:extLst>
            <a:ext uri="{FF2B5EF4-FFF2-40B4-BE49-F238E27FC236}">
              <a16:creationId xmlns:a16="http://schemas.microsoft.com/office/drawing/2014/main" xmlns="" id="{EBDB71D1-3352-4E44-9FC8-74ED97F555FB}"/>
            </a:ext>
          </a:extLst>
        </xdr:cNvPr>
        <xdr:cNvSpPr txBox="1">
          <a:spLocks noChangeArrowheads="1"/>
        </xdr:cNvSpPr>
      </xdr:nvSpPr>
      <xdr:spPr bwMode="auto">
        <a:xfrm>
          <a:off x="3362325" y="36528375"/>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517525</xdr:colOff>
      <xdr:row>268</xdr:row>
      <xdr:rowOff>0</xdr:rowOff>
    </xdr:from>
    <xdr:ext cx="188912" cy="63500"/>
    <xdr:sp macro="" textlink="">
      <xdr:nvSpPr>
        <xdr:cNvPr id="38" name="TextBox 37">
          <a:extLst>
            <a:ext uri="{FF2B5EF4-FFF2-40B4-BE49-F238E27FC236}">
              <a16:creationId xmlns:a16="http://schemas.microsoft.com/office/drawing/2014/main" xmlns="" id="{AE72D102-D731-43C7-827A-54A74CBB598B}"/>
            </a:ext>
          </a:extLst>
        </xdr:cNvPr>
        <xdr:cNvSpPr txBox="1">
          <a:spLocks noChangeArrowheads="1"/>
        </xdr:cNvSpPr>
      </xdr:nvSpPr>
      <xdr:spPr bwMode="auto">
        <a:xfrm>
          <a:off x="3536950" y="36528375"/>
          <a:ext cx="188912" cy="63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58750"/>
    <xdr:sp macro="" textlink="">
      <xdr:nvSpPr>
        <xdr:cNvPr id="39" name="TextBox 1">
          <a:extLst>
            <a:ext uri="{FF2B5EF4-FFF2-40B4-BE49-F238E27FC236}">
              <a16:creationId xmlns:a16="http://schemas.microsoft.com/office/drawing/2014/main" xmlns="" id="{21B646CB-0987-44DD-8A64-496C06FB3D2B}"/>
            </a:ext>
          </a:extLst>
        </xdr:cNvPr>
        <xdr:cNvSpPr txBox="1">
          <a:spLocks noChangeArrowheads="1"/>
        </xdr:cNvSpPr>
      </xdr:nvSpPr>
      <xdr:spPr bwMode="auto">
        <a:xfrm>
          <a:off x="3362325" y="36528375"/>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40" name="TextBox 1">
          <a:extLst>
            <a:ext uri="{FF2B5EF4-FFF2-40B4-BE49-F238E27FC236}">
              <a16:creationId xmlns:a16="http://schemas.microsoft.com/office/drawing/2014/main" xmlns="" id="{B2D270C6-3662-4647-8743-42CE0039DDFB}"/>
            </a:ext>
          </a:extLst>
        </xdr:cNvPr>
        <xdr:cNvSpPr txBox="1">
          <a:spLocks noChangeArrowheads="1"/>
        </xdr:cNvSpPr>
      </xdr:nvSpPr>
      <xdr:spPr bwMode="auto">
        <a:xfrm>
          <a:off x="3362325" y="36528375"/>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41" name="TextBox 1">
          <a:extLst>
            <a:ext uri="{FF2B5EF4-FFF2-40B4-BE49-F238E27FC236}">
              <a16:creationId xmlns:a16="http://schemas.microsoft.com/office/drawing/2014/main" xmlns="" id="{5FDF8F14-4E09-4872-BB05-B99F0CB31D4D}"/>
            </a:ext>
          </a:extLst>
        </xdr:cNvPr>
        <xdr:cNvSpPr txBox="1">
          <a:spLocks noChangeArrowheads="1"/>
        </xdr:cNvSpPr>
      </xdr:nvSpPr>
      <xdr:spPr bwMode="auto">
        <a:xfrm>
          <a:off x="3362325" y="36528375"/>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42" name="TextBox 1">
          <a:extLst>
            <a:ext uri="{FF2B5EF4-FFF2-40B4-BE49-F238E27FC236}">
              <a16:creationId xmlns:a16="http://schemas.microsoft.com/office/drawing/2014/main" xmlns="" id="{B7AB407D-CC81-4E64-86AA-3BEB3459FC3D}"/>
            </a:ext>
          </a:extLst>
        </xdr:cNvPr>
        <xdr:cNvSpPr txBox="1">
          <a:spLocks noChangeArrowheads="1"/>
        </xdr:cNvSpPr>
      </xdr:nvSpPr>
      <xdr:spPr bwMode="auto">
        <a:xfrm>
          <a:off x="3362325" y="36528375"/>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43" name="TextBox 1">
          <a:extLst>
            <a:ext uri="{FF2B5EF4-FFF2-40B4-BE49-F238E27FC236}">
              <a16:creationId xmlns:a16="http://schemas.microsoft.com/office/drawing/2014/main" xmlns="" id="{70A155AA-4D62-4441-B5EF-E8D7BBD39063}"/>
            </a:ext>
          </a:extLst>
        </xdr:cNvPr>
        <xdr:cNvSpPr txBox="1">
          <a:spLocks noChangeArrowheads="1"/>
        </xdr:cNvSpPr>
      </xdr:nvSpPr>
      <xdr:spPr bwMode="auto">
        <a:xfrm>
          <a:off x="3362325" y="36528375"/>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44" name="TextBox 1">
          <a:extLst>
            <a:ext uri="{FF2B5EF4-FFF2-40B4-BE49-F238E27FC236}">
              <a16:creationId xmlns:a16="http://schemas.microsoft.com/office/drawing/2014/main" xmlns="" id="{E2C58C72-A49E-4894-9D3D-5B6704916B27}"/>
            </a:ext>
          </a:extLst>
        </xdr:cNvPr>
        <xdr:cNvSpPr txBox="1">
          <a:spLocks noChangeArrowheads="1"/>
        </xdr:cNvSpPr>
      </xdr:nvSpPr>
      <xdr:spPr bwMode="auto">
        <a:xfrm>
          <a:off x="3362325" y="36528375"/>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45" name="TextBox 1">
          <a:extLst>
            <a:ext uri="{FF2B5EF4-FFF2-40B4-BE49-F238E27FC236}">
              <a16:creationId xmlns:a16="http://schemas.microsoft.com/office/drawing/2014/main" xmlns="" id="{E922BC7D-F38C-451F-9594-6E83E69669F0}"/>
            </a:ext>
          </a:extLst>
        </xdr:cNvPr>
        <xdr:cNvSpPr txBox="1">
          <a:spLocks noChangeArrowheads="1"/>
        </xdr:cNvSpPr>
      </xdr:nvSpPr>
      <xdr:spPr bwMode="auto">
        <a:xfrm>
          <a:off x="3362325" y="36528375"/>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46" name="TextBox 1">
          <a:extLst>
            <a:ext uri="{FF2B5EF4-FFF2-40B4-BE49-F238E27FC236}">
              <a16:creationId xmlns:a16="http://schemas.microsoft.com/office/drawing/2014/main" xmlns="" id="{3C2E94A5-14DE-4AFE-860E-539BA81E39F7}"/>
            </a:ext>
          </a:extLst>
        </xdr:cNvPr>
        <xdr:cNvSpPr txBox="1">
          <a:spLocks noChangeArrowheads="1"/>
        </xdr:cNvSpPr>
      </xdr:nvSpPr>
      <xdr:spPr bwMode="auto">
        <a:xfrm>
          <a:off x="3362325" y="36528375"/>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47" name="TextBox 1">
          <a:extLst>
            <a:ext uri="{FF2B5EF4-FFF2-40B4-BE49-F238E27FC236}">
              <a16:creationId xmlns:a16="http://schemas.microsoft.com/office/drawing/2014/main" xmlns="" id="{ACA4C3CE-68A1-47D6-B074-C6B8B640D996}"/>
            </a:ext>
          </a:extLst>
        </xdr:cNvPr>
        <xdr:cNvSpPr txBox="1">
          <a:spLocks noChangeArrowheads="1"/>
        </xdr:cNvSpPr>
      </xdr:nvSpPr>
      <xdr:spPr bwMode="auto">
        <a:xfrm>
          <a:off x="3362325" y="36528375"/>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48" name="TextBox 47">
          <a:extLst>
            <a:ext uri="{FF2B5EF4-FFF2-40B4-BE49-F238E27FC236}">
              <a16:creationId xmlns:a16="http://schemas.microsoft.com/office/drawing/2014/main" xmlns="" id="{213FAF77-D20F-47C1-8954-29B400477A56}"/>
            </a:ext>
          </a:extLst>
        </xdr:cNvPr>
        <xdr:cNvSpPr txBox="1">
          <a:spLocks noChangeArrowheads="1"/>
        </xdr:cNvSpPr>
      </xdr:nvSpPr>
      <xdr:spPr bwMode="auto">
        <a:xfrm>
          <a:off x="3362325" y="36528375"/>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49" name="TextBox 1">
          <a:extLst>
            <a:ext uri="{FF2B5EF4-FFF2-40B4-BE49-F238E27FC236}">
              <a16:creationId xmlns:a16="http://schemas.microsoft.com/office/drawing/2014/main" xmlns="" id="{7B1875B5-179D-41DF-ACD3-202FD67165F5}"/>
            </a:ext>
          </a:extLst>
        </xdr:cNvPr>
        <xdr:cNvSpPr txBox="1">
          <a:spLocks noChangeArrowheads="1"/>
        </xdr:cNvSpPr>
      </xdr:nvSpPr>
      <xdr:spPr bwMode="auto">
        <a:xfrm>
          <a:off x="3362325" y="36528375"/>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50" name="TextBox 1">
          <a:extLst>
            <a:ext uri="{FF2B5EF4-FFF2-40B4-BE49-F238E27FC236}">
              <a16:creationId xmlns:a16="http://schemas.microsoft.com/office/drawing/2014/main" xmlns="" id="{F785BEEE-96E7-4D98-9763-85AB04F9F014}"/>
            </a:ext>
          </a:extLst>
        </xdr:cNvPr>
        <xdr:cNvSpPr txBox="1">
          <a:spLocks noChangeArrowheads="1"/>
        </xdr:cNvSpPr>
      </xdr:nvSpPr>
      <xdr:spPr bwMode="auto">
        <a:xfrm>
          <a:off x="3362325" y="36528375"/>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28" name="TextBox 28">
          <a:extLst>
            <a:ext uri="{FF2B5EF4-FFF2-40B4-BE49-F238E27FC236}">
              <a16:creationId xmlns:a16="http://schemas.microsoft.com/office/drawing/2014/main" xmlns="" id="{2B40074E-FDF3-48CD-8842-1408B5197D4E}"/>
            </a:ext>
          </a:extLst>
        </xdr:cNvPr>
        <xdr:cNvSpPr txBox="1">
          <a:spLocks noChangeArrowheads="1"/>
        </xdr:cNvSpPr>
      </xdr:nvSpPr>
      <xdr:spPr bwMode="auto">
        <a:xfrm>
          <a:off x="3939988" y="10634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51" name="TextBox 29">
          <a:extLst>
            <a:ext uri="{FF2B5EF4-FFF2-40B4-BE49-F238E27FC236}">
              <a16:creationId xmlns:a16="http://schemas.microsoft.com/office/drawing/2014/main" xmlns="" id="{154CB662-49B4-480C-BF4A-E61BBC0B27E8}"/>
            </a:ext>
          </a:extLst>
        </xdr:cNvPr>
        <xdr:cNvSpPr txBox="1">
          <a:spLocks noChangeArrowheads="1"/>
        </xdr:cNvSpPr>
      </xdr:nvSpPr>
      <xdr:spPr bwMode="auto">
        <a:xfrm>
          <a:off x="3939988" y="10634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295275</xdr:colOff>
      <xdr:row>268</xdr:row>
      <xdr:rowOff>0</xdr:rowOff>
    </xdr:from>
    <xdr:ext cx="190500" cy="254000"/>
    <xdr:sp macro="" textlink="">
      <xdr:nvSpPr>
        <xdr:cNvPr id="52" name="TextBox 1">
          <a:extLst>
            <a:ext uri="{FF2B5EF4-FFF2-40B4-BE49-F238E27FC236}">
              <a16:creationId xmlns:a16="http://schemas.microsoft.com/office/drawing/2014/main" xmlns="" id="{5AB7DD0C-C99F-44E2-84FD-5BBEB53E49A9}"/>
            </a:ext>
          </a:extLst>
        </xdr:cNvPr>
        <xdr:cNvSpPr txBox="1">
          <a:spLocks noChangeArrowheads="1"/>
        </xdr:cNvSpPr>
      </xdr:nvSpPr>
      <xdr:spPr bwMode="auto">
        <a:xfrm>
          <a:off x="3892363" y="10634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53" name="TextBox 1">
          <a:extLst>
            <a:ext uri="{FF2B5EF4-FFF2-40B4-BE49-F238E27FC236}">
              <a16:creationId xmlns:a16="http://schemas.microsoft.com/office/drawing/2014/main" xmlns="" id="{B1D854C2-4525-4CEF-9D93-48C43D13DA5A}"/>
            </a:ext>
          </a:extLst>
        </xdr:cNvPr>
        <xdr:cNvSpPr txBox="1">
          <a:spLocks noChangeArrowheads="1"/>
        </xdr:cNvSpPr>
      </xdr:nvSpPr>
      <xdr:spPr bwMode="auto">
        <a:xfrm>
          <a:off x="3939988" y="10634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54" name="TextBox 1">
          <a:extLst>
            <a:ext uri="{FF2B5EF4-FFF2-40B4-BE49-F238E27FC236}">
              <a16:creationId xmlns:a16="http://schemas.microsoft.com/office/drawing/2014/main" xmlns="" id="{52DFF0EB-A874-4C9A-BB72-A30B0893E79E}"/>
            </a:ext>
          </a:extLst>
        </xdr:cNvPr>
        <xdr:cNvSpPr txBox="1">
          <a:spLocks noChangeArrowheads="1"/>
        </xdr:cNvSpPr>
      </xdr:nvSpPr>
      <xdr:spPr bwMode="auto">
        <a:xfrm>
          <a:off x="3939988" y="10634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55" name="TextBox 1">
          <a:extLst>
            <a:ext uri="{FF2B5EF4-FFF2-40B4-BE49-F238E27FC236}">
              <a16:creationId xmlns:a16="http://schemas.microsoft.com/office/drawing/2014/main" xmlns="" id="{BE0A1D36-CBBB-4347-BCB1-E82C7E26718C}"/>
            </a:ext>
          </a:extLst>
        </xdr:cNvPr>
        <xdr:cNvSpPr txBox="1">
          <a:spLocks noChangeArrowheads="1"/>
        </xdr:cNvSpPr>
      </xdr:nvSpPr>
      <xdr:spPr bwMode="auto">
        <a:xfrm>
          <a:off x="3939988" y="10634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56" name="TextBox 1">
          <a:extLst>
            <a:ext uri="{FF2B5EF4-FFF2-40B4-BE49-F238E27FC236}">
              <a16:creationId xmlns:a16="http://schemas.microsoft.com/office/drawing/2014/main" xmlns="" id="{96F7D12A-38C5-446D-813A-7DFBFDB75ADE}"/>
            </a:ext>
          </a:extLst>
        </xdr:cNvPr>
        <xdr:cNvSpPr txBox="1">
          <a:spLocks noChangeArrowheads="1"/>
        </xdr:cNvSpPr>
      </xdr:nvSpPr>
      <xdr:spPr bwMode="auto">
        <a:xfrm>
          <a:off x="3939988" y="10634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57" name="TextBox 1">
          <a:extLst>
            <a:ext uri="{FF2B5EF4-FFF2-40B4-BE49-F238E27FC236}">
              <a16:creationId xmlns:a16="http://schemas.microsoft.com/office/drawing/2014/main" xmlns="" id="{958DC52A-F736-4DA5-AD67-CD499C9A4223}"/>
            </a:ext>
          </a:extLst>
        </xdr:cNvPr>
        <xdr:cNvSpPr txBox="1">
          <a:spLocks noChangeArrowheads="1"/>
        </xdr:cNvSpPr>
      </xdr:nvSpPr>
      <xdr:spPr bwMode="auto">
        <a:xfrm>
          <a:off x="3939988" y="10634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58" name="TextBox 1">
          <a:extLst>
            <a:ext uri="{FF2B5EF4-FFF2-40B4-BE49-F238E27FC236}">
              <a16:creationId xmlns:a16="http://schemas.microsoft.com/office/drawing/2014/main" xmlns="" id="{6E5FD275-4D18-4E2F-9C21-6358E85EF0AC}"/>
            </a:ext>
          </a:extLst>
        </xdr:cNvPr>
        <xdr:cNvSpPr txBox="1">
          <a:spLocks noChangeArrowheads="1"/>
        </xdr:cNvSpPr>
      </xdr:nvSpPr>
      <xdr:spPr bwMode="auto">
        <a:xfrm>
          <a:off x="3939988" y="10634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517525</xdr:colOff>
      <xdr:row>268</xdr:row>
      <xdr:rowOff>0</xdr:rowOff>
    </xdr:from>
    <xdr:ext cx="188912" cy="63500"/>
    <xdr:sp macro="" textlink="">
      <xdr:nvSpPr>
        <xdr:cNvPr id="59" name="TextBox 37">
          <a:extLst>
            <a:ext uri="{FF2B5EF4-FFF2-40B4-BE49-F238E27FC236}">
              <a16:creationId xmlns:a16="http://schemas.microsoft.com/office/drawing/2014/main" xmlns="" id="{4C5E9C06-4767-4E83-9B43-2EB1D7DAB9DA}"/>
            </a:ext>
          </a:extLst>
        </xdr:cNvPr>
        <xdr:cNvSpPr txBox="1">
          <a:spLocks noChangeArrowheads="1"/>
        </xdr:cNvSpPr>
      </xdr:nvSpPr>
      <xdr:spPr bwMode="auto">
        <a:xfrm>
          <a:off x="4114613" y="10634382"/>
          <a:ext cx="188912" cy="63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58750"/>
    <xdr:sp macro="" textlink="">
      <xdr:nvSpPr>
        <xdr:cNvPr id="60" name="TextBox 1">
          <a:extLst>
            <a:ext uri="{FF2B5EF4-FFF2-40B4-BE49-F238E27FC236}">
              <a16:creationId xmlns:a16="http://schemas.microsoft.com/office/drawing/2014/main" xmlns="" id="{6A701016-0BAF-46DA-8C3D-CF880B9E7B5F}"/>
            </a:ext>
          </a:extLst>
        </xdr:cNvPr>
        <xdr:cNvSpPr txBox="1">
          <a:spLocks noChangeArrowheads="1"/>
        </xdr:cNvSpPr>
      </xdr:nvSpPr>
      <xdr:spPr bwMode="auto">
        <a:xfrm>
          <a:off x="3939988" y="10634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61" name="TextBox 1">
          <a:extLst>
            <a:ext uri="{FF2B5EF4-FFF2-40B4-BE49-F238E27FC236}">
              <a16:creationId xmlns:a16="http://schemas.microsoft.com/office/drawing/2014/main" xmlns="" id="{48FFBD1E-C1D2-45A2-AAE9-120FF177737D}"/>
            </a:ext>
          </a:extLst>
        </xdr:cNvPr>
        <xdr:cNvSpPr txBox="1">
          <a:spLocks noChangeArrowheads="1"/>
        </xdr:cNvSpPr>
      </xdr:nvSpPr>
      <xdr:spPr bwMode="auto">
        <a:xfrm>
          <a:off x="3939988" y="10634382"/>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62" name="TextBox 1">
          <a:extLst>
            <a:ext uri="{FF2B5EF4-FFF2-40B4-BE49-F238E27FC236}">
              <a16:creationId xmlns:a16="http://schemas.microsoft.com/office/drawing/2014/main" xmlns="" id="{176874BE-15AB-42AB-B56F-691E1F154554}"/>
            </a:ext>
          </a:extLst>
        </xdr:cNvPr>
        <xdr:cNvSpPr txBox="1">
          <a:spLocks noChangeArrowheads="1"/>
        </xdr:cNvSpPr>
      </xdr:nvSpPr>
      <xdr:spPr bwMode="auto">
        <a:xfrm>
          <a:off x="3939988" y="10634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63" name="TextBox 1">
          <a:extLst>
            <a:ext uri="{FF2B5EF4-FFF2-40B4-BE49-F238E27FC236}">
              <a16:creationId xmlns:a16="http://schemas.microsoft.com/office/drawing/2014/main" xmlns="" id="{70C569A4-DA08-4695-916C-9E7098A775F2}"/>
            </a:ext>
          </a:extLst>
        </xdr:cNvPr>
        <xdr:cNvSpPr txBox="1">
          <a:spLocks noChangeArrowheads="1"/>
        </xdr:cNvSpPr>
      </xdr:nvSpPr>
      <xdr:spPr bwMode="auto">
        <a:xfrm>
          <a:off x="3939988" y="10634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64" name="TextBox 1">
          <a:extLst>
            <a:ext uri="{FF2B5EF4-FFF2-40B4-BE49-F238E27FC236}">
              <a16:creationId xmlns:a16="http://schemas.microsoft.com/office/drawing/2014/main" xmlns="" id="{72DEDEDD-104C-4FAA-883A-A29805431775}"/>
            </a:ext>
          </a:extLst>
        </xdr:cNvPr>
        <xdr:cNvSpPr txBox="1">
          <a:spLocks noChangeArrowheads="1"/>
        </xdr:cNvSpPr>
      </xdr:nvSpPr>
      <xdr:spPr bwMode="auto">
        <a:xfrm>
          <a:off x="3939988" y="10634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65" name="TextBox 1">
          <a:extLst>
            <a:ext uri="{FF2B5EF4-FFF2-40B4-BE49-F238E27FC236}">
              <a16:creationId xmlns:a16="http://schemas.microsoft.com/office/drawing/2014/main" xmlns="" id="{3BF8325B-4748-41D3-B497-AA73BF0F0A47}"/>
            </a:ext>
          </a:extLst>
        </xdr:cNvPr>
        <xdr:cNvSpPr txBox="1">
          <a:spLocks noChangeArrowheads="1"/>
        </xdr:cNvSpPr>
      </xdr:nvSpPr>
      <xdr:spPr bwMode="auto">
        <a:xfrm>
          <a:off x="3939988" y="10634382"/>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66" name="TextBox 1">
          <a:extLst>
            <a:ext uri="{FF2B5EF4-FFF2-40B4-BE49-F238E27FC236}">
              <a16:creationId xmlns:a16="http://schemas.microsoft.com/office/drawing/2014/main" xmlns="" id="{9E7BA217-0134-4F4F-85FA-1C4333FBB207}"/>
            </a:ext>
          </a:extLst>
        </xdr:cNvPr>
        <xdr:cNvSpPr txBox="1">
          <a:spLocks noChangeArrowheads="1"/>
        </xdr:cNvSpPr>
      </xdr:nvSpPr>
      <xdr:spPr bwMode="auto">
        <a:xfrm>
          <a:off x="3939988" y="10634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67" name="TextBox 1">
          <a:extLst>
            <a:ext uri="{FF2B5EF4-FFF2-40B4-BE49-F238E27FC236}">
              <a16:creationId xmlns:a16="http://schemas.microsoft.com/office/drawing/2014/main" xmlns="" id="{2BAA1EFB-D77F-413A-BEDB-6D671156BD9D}"/>
            </a:ext>
          </a:extLst>
        </xdr:cNvPr>
        <xdr:cNvSpPr txBox="1">
          <a:spLocks noChangeArrowheads="1"/>
        </xdr:cNvSpPr>
      </xdr:nvSpPr>
      <xdr:spPr bwMode="auto">
        <a:xfrm>
          <a:off x="3939988" y="10634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68" name="TextBox 1">
          <a:extLst>
            <a:ext uri="{FF2B5EF4-FFF2-40B4-BE49-F238E27FC236}">
              <a16:creationId xmlns:a16="http://schemas.microsoft.com/office/drawing/2014/main" xmlns="" id="{23422243-7D0B-48DD-95DA-316033094298}"/>
            </a:ext>
          </a:extLst>
        </xdr:cNvPr>
        <xdr:cNvSpPr txBox="1">
          <a:spLocks noChangeArrowheads="1"/>
        </xdr:cNvSpPr>
      </xdr:nvSpPr>
      <xdr:spPr bwMode="auto">
        <a:xfrm>
          <a:off x="3939988" y="10634382"/>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69" name="TextBox 47">
          <a:extLst>
            <a:ext uri="{FF2B5EF4-FFF2-40B4-BE49-F238E27FC236}">
              <a16:creationId xmlns:a16="http://schemas.microsoft.com/office/drawing/2014/main" xmlns="" id="{2764EBCB-BF06-4CF3-AEDB-81B5D3821AD8}"/>
            </a:ext>
          </a:extLst>
        </xdr:cNvPr>
        <xdr:cNvSpPr txBox="1">
          <a:spLocks noChangeArrowheads="1"/>
        </xdr:cNvSpPr>
      </xdr:nvSpPr>
      <xdr:spPr bwMode="auto">
        <a:xfrm>
          <a:off x="3939988" y="10634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70" name="TextBox 1">
          <a:extLst>
            <a:ext uri="{FF2B5EF4-FFF2-40B4-BE49-F238E27FC236}">
              <a16:creationId xmlns:a16="http://schemas.microsoft.com/office/drawing/2014/main" xmlns="" id="{294B99EF-97F8-49AB-8743-A69E48D060CC}"/>
            </a:ext>
          </a:extLst>
        </xdr:cNvPr>
        <xdr:cNvSpPr txBox="1">
          <a:spLocks noChangeArrowheads="1"/>
        </xdr:cNvSpPr>
      </xdr:nvSpPr>
      <xdr:spPr bwMode="auto">
        <a:xfrm>
          <a:off x="3939988" y="10634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71" name="TextBox 1">
          <a:extLst>
            <a:ext uri="{FF2B5EF4-FFF2-40B4-BE49-F238E27FC236}">
              <a16:creationId xmlns:a16="http://schemas.microsoft.com/office/drawing/2014/main" xmlns="" id="{8C20F15B-0502-41FC-8BE5-807BDC590019}"/>
            </a:ext>
          </a:extLst>
        </xdr:cNvPr>
        <xdr:cNvSpPr txBox="1">
          <a:spLocks noChangeArrowheads="1"/>
        </xdr:cNvSpPr>
      </xdr:nvSpPr>
      <xdr:spPr bwMode="auto">
        <a:xfrm>
          <a:off x="3939988" y="10634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72" name="TextBox 28">
          <a:extLst>
            <a:ext uri="{FF2B5EF4-FFF2-40B4-BE49-F238E27FC236}">
              <a16:creationId xmlns:a16="http://schemas.microsoft.com/office/drawing/2014/main" xmlns="" id="{8EACAA7E-9342-4D5A-99B3-A75377718754}"/>
            </a:ext>
          </a:extLst>
        </xdr:cNvPr>
        <xdr:cNvSpPr txBox="1">
          <a:spLocks noChangeArrowheads="1"/>
        </xdr:cNvSpPr>
      </xdr:nvSpPr>
      <xdr:spPr bwMode="auto">
        <a:xfrm>
          <a:off x="3939988" y="16730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73" name="TextBox 29">
          <a:extLst>
            <a:ext uri="{FF2B5EF4-FFF2-40B4-BE49-F238E27FC236}">
              <a16:creationId xmlns:a16="http://schemas.microsoft.com/office/drawing/2014/main" xmlns="" id="{885DBAA1-7FE2-43DB-902A-BAEE5ED1767D}"/>
            </a:ext>
          </a:extLst>
        </xdr:cNvPr>
        <xdr:cNvSpPr txBox="1">
          <a:spLocks noChangeArrowheads="1"/>
        </xdr:cNvSpPr>
      </xdr:nvSpPr>
      <xdr:spPr bwMode="auto">
        <a:xfrm>
          <a:off x="3939988" y="16730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295275</xdr:colOff>
      <xdr:row>268</xdr:row>
      <xdr:rowOff>0</xdr:rowOff>
    </xdr:from>
    <xdr:ext cx="190500" cy="254000"/>
    <xdr:sp macro="" textlink="">
      <xdr:nvSpPr>
        <xdr:cNvPr id="74" name="TextBox 1">
          <a:extLst>
            <a:ext uri="{FF2B5EF4-FFF2-40B4-BE49-F238E27FC236}">
              <a16:creationId xmlns:a16="http://schemas.microsoft.com/office/drawing/2014/main" xmlns="" id="{DFADCCA4-FCE5-4420-9397-9B7937D02AE0}"/>
            </a:ext>
          </a:extLst>
        </xdr:cNvPr>
        <xdr:cNvSpPr txBox="1">
          <a:spLocks noChangeArrowheads="1"/>
        </xdr:cNvSpPr>
      </xdr:nvSpPr>
      <xdr:spPr bwMode="auto">
        <a:xfrm>
          <a:off x="3892363" y="16730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75" name="TextBox 1">
          <a:extLst>
            <a:ext uri="{FF2B5EF4-FFF2-40B4-BE49-F238E27FC236}">
              <a16:creationId xmlns:a16="http://schemas.microsoft.com/office/drawing/2014/main" xmlns="" id="{E6DFE35D-0BA0-4AC5-B5FB-BD9C5E28FDF3}"/>
            </a:ext>
          </a:extLst>
        </xdr:cNvPr>
        <xdr:cNvSpPr txBox="1">
          <a:spLocks noChangeArrowheads="1"/>
        </xdr:cNvSpPr>
      </xdr:nvSpPr>
      <xdr:spPr bwMode="auto">
        <a:xfrm>
          <a:off x="3939988" y="16730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76" name="TextBox 1">
          <a:extLst>
            <a:ext uri="{FF2B5EF4-FFF2-40B4-BE49-F238E27FC236}">
              <a16:creationId xmlns:a16="http://schemas.microsoft.com/office/drawing/2014/main" xmlns="" id="{E08A556D-839A-4236-A343-22FE9019FCF4}"/>
            </a:ext>
          </a:extLst>
        </xdr:cNvPr>
        <xdr:cNvSpPr txBox="1">
          <a:spLocks noChangeArrowheads="1"/>
        </xdr:cNvSpPr>
      </xdr:nvSpPr>
      <xdr:spPr bwMode="auto">
        <a:xfrm>
          <a:off x="3939988" y="16730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77" name="TextBox 1">
          <a:extLst>
            <a:ext uri="{FF2B5EF4-FFF2-40B4-BE49-F238E27FC236}">
              <a16:creationId xmlns:a16="http://schemas.microsoft.com/office/drawing/2014/main" xmlns="" id="{0E6C243D-C602-492F-A1CE-4DF7E95CE7A1}"/>
            </a:ext>
          </a:extLst>
        </xdr:cNvPr>
        <xdr:cNvSpPr txBox="1">
          <a:spLocks noChangeArrowheads="1"/>
        </xdr:cNvSpPr>
      </xdr:nvSpPr>
      <xdr:spPr bwMode="auto">
        <a:xfrm>
          <a:off x="3939988" y="16730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78" name="TextBox 1">
          <a:extLst>
            <a:ext uri="{FF2B5EF4-FFF2-40B4-BE49-F238E27FC236}">
              <a16:creationId xmlns:a16="http://schemas.microsoft.com/office/drawing/2014/main" xmlns="" id="{F9B2B4B7-1582-4174-8102-558740BE590C}"/>
            </a:ext>
          </a:extLst>
        </xdr:cNvPr>
        <xdr:cNvSpPr txBox="1">
          <a:spLocks noChangeArrowheads="1"/>
        </xdr:cNvSpPr>
      </xdr:nvSpPr>
      <xdr:spPr bwMode="auto">
        <a:xfrm>
          <a:off x="3939988" y="16730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79" name="TextBox 1">
          <a:extLst>
            <a:ext uri="{FF2B5EF4-FFF2-40B4-BE49-F238E27FC236}">
              <a16:creationId xmlns:a16="http://schemas.microsoft.com/office/drawing/2014/main" xmlns="" id="{1DCCA589-79E9-4A74-97B6-471338778A09}"/>
            </a:ext>
          </a:extLst>
        </xdr:cNvPr>
        <xdr:cNvSpPr txBox="1">
          <a:spLocks noChangeArrowheads="1"/>
        </xdr:cNvSpPr>
      </xdr:nvSpPr>
      <xdr:spPr bwMode="auto">
        <a:xfrm>
          <a:off x="3939988" y="16730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80" name="TextBox 1">
          <a:extLst>
            <a:ext uri="{FF2B5EF4-FFF2-40B4-BE49-F238E27FC236}">
              <a16:creationId xmlns:a16="http://schemas.microsoft.com/office/drawing/2014/main" xmlns="" id="{C9CC36CF-2C0D-487A-BC5C-283D751DA801}"/>
            </a:ext>
          </a:extLst>
        </xdr:cNvPr>
        <xdr:cNvSpPr txBox="1">
          <a:spLocks noChangeArrowheads="1"/>
        </xdr:cNvSpPr>
      </xdr:nvSpPr>
      <xdr:spPr bwMode="auto">
        <a:xfrm>
          <a:off x="3939988" y="167303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517525</xdr:colOff>
      <xdr:row>268</xdr:row>
      <xdr:rowOff>0</xdr:rowOff>
    </xdr:from>
    <xdr:ext cx="188912" cy="63500"/>
    <xdr:sp macro="" textlink="">
      <xdr:nvSpPr>
        <xdr:cNvPr id="81" name="TextBox 37">
          <a:extLst>
            <a:ext uri="{FF2B5EF4-FFF2-40B4-BE49-F238E27FC236}">
              <a16:creationId xmlns:a16="http://schemas.microsoft.com/office/drawing/2014/main" xmlns="" id="{002F6495-2DC8-42DE-80C8-F10D6776F614}"/>
            </a:ext>
          </a:extLst>
        </xdr:cNvPr>
        <xdr:cNvSpPr txBox="1">
          <a:spLocks noChangeArrowheads="1"/>
        </xdr:cNvSpPr>
      </xdr:nvSpPr>
      <xdr:spPr bwMode="auto">
        <a:xfrm>
          <a:off x="4114613" y="16730382"/>
          <a:ext cx="188912" cy="63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58750"/>
    <xdr:sp macro="" textlink="">
      <xdr:nvSpPr>
        <xdr:cNvPr id="82" name="TextBox 1">
          <a:extLst>
            <a:ext uri="{FF2B5EF4-FFF2-40B4-BE49-F238E27FC236}">
              <a16:creationId xmlns:a16="http://schemas.microsoft.com/office/drawing/2014/main" xmlns="" id="{2B2F32F1-E480-4FBF-A408-EA679A6C7891}"/>
            </a:ext>
          </a:extLst>
        </xdr:cNvPr>
        <xdr:cNvSpPr txBox="1">
          <a:spLocks noChangeArrowheads="1"/>
        </xdr:cNvSpPr>
      </xdr:nvSpPr>
      <xdr:spPr bwMode="auto">
        <a:xfrm>
          <a:off x="3939988" y="16730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83" name="TextBox 1">
          <a:extLst>
            <a:ext uri="{FF2B5EF4-FFF2-40B4-BE49-F238E27FC236}">
              <a16:creationId xmlns:a16="http://schemas.microsoft.com/office/drawing/2014/main" xmlns="" id="{807F3D33-E7D7-4788-9CC9-ABE446545C9A}"/>
            </a:ext>
          </a:extLst>
        </xdr:cNvPr>
        <xdr:cNvSpPr txBox="1">
          <a:spLocks noChangeArrowheads="1"/>
        </xdr:cNvSpPr>
      </xdr:nvSpPr>
      <xdr:spPr bwMode="auto">
        <a:xfrm>
          <a:off x="3939988" y="16730382"/>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84" name="TextBox 1">
          <a:extLst>
            <a:ext uri="{FF2B5EF4-FFF2-40B4-BE49-F238E27FC236}">
              <a16:creationId xmlns:a16="http://schemas.microsoft.com/office/drawing/2014/main" xmlns="" id="{77388105-75B1-436A-9CF8-3171E0FC3B58}"/>
            </a:ext>
          </a:extLst>
        </xdr:cNvPr>
        <xdr:cNvSpPr txBox="1">
          <a:spLocks noChangeArrowheads="1"/>
        </xdr:cNvSpPr>
      </xdr:nvSpPr>
      <xdr:spPr bwMode="auto">
        <a:xfrm>
          <a:off x="3939988" y="16730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85" name="TextBox 1">
          <a:extLst>
            <a:ext uri="{FF2B5EF4-FFF2-40B4-BE49-F238E27FC236}">
              <a16:creationId xmlns:a16="http://schemas.microsoft.com/office/drawing/2014/main" xmlns="" id="{6F6A5BAE-D176-4DDA-BD90-4147D453CB19}"/>
            </a:ext>
          </a:extLst>
        </xdr:cNvPr>
        <xdr:cNvSpPr txBox="1">
          <a:spLocks noChangeArrowheads="1"/>
        </xdr:cNvSpPr>
      </xdr:nvSpPr>
      <xdr:spPr bwMode="auto">
        <a:xfrm>
          <a:off x="3939988" y="16730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86" name="TextBox 1">
          <a:extLst>
            <a:ext uri="{FF2B5EF4-FFF2-40B4-BE49-F238E27FC236}">
              <a16:creationId xmlns:a16="http://schemas.microsoft.com/office/drawing/2014/main" xmlns="" id="{152733AA-670E-43B8-8796-648F54EBDFB2}"/>
            </a:ext>
          </a:extLst>
        </xdr:cNvPr>
        <xdr:cNvSpPr txBox="1">
          <a:spLocks noChangeArrowheads="1"/>
        </xdr:cNvSpPr>
      </xdr:nvSpPr>
      <xdr:spPr bwMode="auto">
        <a:xfrm>
          <a:off x="3939988" y="16730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87" name="TextBox 1">
          <a:extLst>
            <a:ext uri="{FF2B5EF4-FFF2-40B4-BE49-F238E27FC236}">
              <a16:creationId xmlns:a16="http://schemas.microsoft.com/office/drawing/2014/main" xmlns="" id="{8395583A-29CE-4385-91FA-0220388A65CB}"/>
            </a:ext>
          </a:extLst>
        </xdr:cNvPr>
        <xdr:cNvSpPr txBox="1">
          <a:spLocks noChangeArrowheads="1"/>
        </xdr:cNvSpPr>
      </xdr:nvSpPr>
      <xdr:spPr bwMode="auto">
        <a:xfrm>
          <a:off x="3939988" y="16730382"/>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88" name="TextBox 1">
          <a:extLst>
            <a:ext uri="{FF2B5EF4-FFF2-40B4-BE49-F238E27FC236}">
              <a16:creationId xmlns:a16="http://schemas.microsoft.com/office/drawing/2014/main" xmlns="" id="{CA6C693D-3C90-4817-A8D1-CE8E43523DDE}"/>
            </a:ext>
          </a:extLst>
        </xdr:cNvPr>
        <xdr:cNvSpPr txBox="1">
          <a:spLocks noChangeArrowheads="1"/>
        </xdr:cNvSpPr>
      </xdr:nvSpPr>
      <xdr:spPr bwMode="auto">
        <a:xfrm>
          <a:off x="3939988" y="16730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89" name="TextBox 1">
          <a:extLst>
            <a:ext uri="{FF2B5EF4-FFF2-40B4-BE49-F238E27FC236}">
              <a16:creationId xmlns:a16="http://schemas.microsoft.com/office/drawing/2014/main" xmlns="" id="{7F391AE8-442F-43A1-84E8-044CC1983A2B}"/>
            </a:ext>
          </a:extLst>
        </xdr:cNvPr>
        <xdr:cNvSpPr txBox="1">
          <a:spLocks noChangeArrowheads="1"/>
        </xdr:cNvSpPr>
      </xdr:nvSpPr>
      <xdr:spPr bwMode="auto">
        <a:xfrm>
          <a:off x="3939988" y="167303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90" name="TextBox 1">
          <a:extLst>
            <a:ext uri="{FF2B5EF4-FFF2-40B4-BE49-F238E27FC236}">
              <a16:creationId xmlns:a16="http://schemas.microsoft.com/office/drawing/2014/main" xmlns="" id="{057D255C-65DD-4CD2-B7FF-C8CC459B96CA}"/>
            </a:ext>
          </a:extLst>
        </xdr:cNvPr>
        <xdr:cNvSpPr txBox="1">
          <a:spLocks noChangeArrowheads="1"/>
        </xdr:cNvSpPr>
      </xdr:nvSpPr>
      <xdr:spPr bwMode="auto">
        <a:xfrm>
          <a:off x="3939988" y="16730382"/>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91" name="TextBox 47">
          <a:extLst>
            <a:ext uri="{FF2B5EF4-FFF2-40B4-BE49-F238E27FC236}">
              <a16:creationId xmlns:a16="http://schemas.microsoft.com/office/drawing/2014/main" xmlns="" id="{37ADBB67-106E-420A-AED8-D87C56459036}"/>
            </a:ext>
          </a:extLst>
        </xdr:cNvPr>
        <xdr:cNvSpPr txBox="1">
          <a:spLocks noChangeArrowheads="1"/>
        </xdr:cNvSpPr>
      </xdr:nvSpPr>
      <xdr:spPr bwMode="auto">
        <a:xfrm>
          <a:off x="3939988" y="16730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92" name="TextBox 1">
          <a:extLst>
            <a:ext uri="{FF2B5EF4-FFF2-40B4-BE49-F238E27FC236}">
              <a16:creationId xmlns:a16="http://schemas.microsoft.com/office/drawing/2014/main" xmlns="" id="{BA5F3CC5-14E7-4CC4-9BA6-8DCCE59AA0D0}"/>
            </a:ext>
          </a:extLst>
        </xdr:cNvPr>
        <xdr:cNvSpPr txBox="1">
          <a:spLocks noChangeArrowheads="1"/>
        </xdr:cNvSpPr>
      </xdr:nvSpPr>
      <xdr:spPr bwMode="auto">
        <a:xfrm>
          <a:off x="3939988" y="16730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93" name="TextBox 1">
          <a:extLst>
            <a:ext uri="{FF2B5EF4-FFF2-40B4-BE49-F238E27FC236}">
              <a16:creationId xmlns:a16="http://schemas.microsoft.com/office/drawing/2014/main" xmlns="" id="{4D894B84-B256-469B-9D30-283C67BB2032}"/>
            </a:ext>
          </a:extLst>
        </xdr:cNvPr>
        <xdr:cNvSpPr txBox="1">
          <a:spLocks noChangeArrowheads="1"/>
        </xdr:cNvSpPr>
      </xdr:nvSpPr>
      <xdr:spPr bwMode="auto">
        <a:xfrm>
          <a:off x="3939988" y="167303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94" name="TextBox 28">
          <a:extLst>
            <a:ext uri="{FF2B5EF4-FFF2-40B4-BE49-F238E27FC236}">
              <a16:creationId xmlns:a16="http://schemas.microsoft.com/office/drawing/2014/main" xmlns="" id="{F519BB18-ADFA-43D0-94ED-B26332A93943}"/>
            </a:ext>
          </a:extLst>
        </xdr:cNvPr>
        <xdr:cNvSpPr txBox="1">
          <a:spLocks noChangeArrowheads="1"/>
        </xdr:cNvSpPr>
      </xdr:nvSpPr>
      <xdr:spPr bwMode="auto">
        <a:xfrm>
          <a:off x="3939988" y="138728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95" name="TextBox 29">
          <a:extLst>
            <a:ext uri="{FF2B5EF4-FFF2-40B4-BE49-F238E27FC236}">
              <a16:creationId xmlns:a16="http://schemas.microsoft.com/office/drawing/2014/main" xmlns="" id="{4BD95441-7D02-49B2-B4C3-31D4EFD6A837}"/>
            </a:ext>
          </a:extLst>
        </xdr:cNvPr>
        <xdr:cNvSpPr txBox="1">
          <a:spLocks noChangeArrowheads="1"/>
        </xdr:cNvSpPr>
      </xdr:nvSpPr>
      <xdr:spPr bwMode="auto">
        <a:xfrm>
          <a:off x="3939988" y="138728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295275</xdr:colOff>
      <xdr:row>268</xdr:row>
      <xdr:rowOff>0</xdr:rowOff>
    </xdr:from>
    <xdr:ext cx="190500" cy="254000"/>
    <xdr:sp macro="" textlink="">
      <xdr:nvSpPr>
        <xdr:cNvPr id="96" name="TextBox 1">
          <a:extLst>
            <a:ext uri="{FF2B5EF4-FFF2-40B4-BE49-F238E27FC236}">
              <a16:creationId xmlns:a16="http://schemas.microsoft.com/office/drawing/2014/main" xmlns="" id="{C73B5806-DA85-4283-8AF3-C3FB236B5834}"/>
            </a:ext>
          </a:extLst>
        </xdr:cNvPr>
        <xdr:cNvSpPr txBox="1">
          <a:spLocks noChangeArrowheads="1"/>
        </xdr:cNvSpPr>
      </xdr:nvSpPr>
      <xdr:spPr bwMode="auto">
        <a:xfrm>
          <a:off x="3892363" y="138728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97" name="TextBox 1">
          <a:extLst>
            <a:ext uri="{FF2B5EF4-FFF2-40B4-BE49-F238E27FC236}">
              <a16:creationId xmlns:a16="http://schemas.microsoft.com/office/drawing/2014/main" xmlns="" id="{8B5C3F45-4CDC-4D5C-AC3E-327957350292}"/>
            </a:ext>
          </a:extLst>
        </xdr:cNvPr>
        <xdr:cNvSpPr txBox="1">
          <a:spLocks noChangeArrowheads="1"/>
        </xdr:cNvSpPr>
      </xdr:nvSpPr>
      <xdr:spPr bwMode="auto">
        <a:xfrm>
          <a:off x="3939988" y="138728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98" name="TextBox 1">
          <a:extLst>
            <a:ext uri="{FF2B5EF4-FFF2-40B4-BE49-F238E27FC236}">
              <a16:creationId xmlns:a16="http://schemas.microsoft.com/office/drawing/2014/main" xmlns="" id="{2E9E3452-63DD-4432-8FD5-EE61D0D8F1A9}"/>
            </a:ext>
          </a:extLst>
        </xdr:cNvPr>
        <xdr:cNvSpPr txBox="1">
          <a:spLocks noChangeArrowheads="1"/>
        </xdr:cNvSpPr>
      </xdr:nvSpPr>
      <xdr:spPr bwMode="auto">
        <a:xfrm>
          <a:off x="3939988" y="138728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99" name="TextBox 1">
          <a:extLst>
            <a:ext uri="{FF2B5EF4-FFF2-40B4-BE49-F238E27FC236}">
              <a16:creationId xmlns:a16="http://schemas.microsoft.com/office/drawing/2014/main" xmlns="" id="{BE3BFE7E-FFDF-4A25-8FAF-520241602116}"/>
            </a:ext>
          </a:extLst>
        </xdr:cNvPr>
        <xdr:cNvSpPr txBox="1">
          <a:spLocks noChangeArrowheads="1"/>
        </xdr:cNvSpPr>
      </xdr:nvSpPr>
      <xdr:spPr bwMode="auto">
        <a:xfrm>
          <a:off x="3939988" y="138728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100" name="TextBox 1">
          <a:extLst>
            <a:ext uri="{FF2B5EF4-FFF2-40B4-BE49-F238E27FC236}">
              <a16:creationId xmlns:a16="http://schemas.microsoft.com/office/drawing/2014/main" xmlns="" id="{97F4EA4E-A6D7-4569-9FF1-60A21088D931}"/>
            </a:ext>
          </a:extLst>
        </xdr:cNvPr>
        <xdr:cNvSpPr txBox="1">
          <a:spLocks noChangeArrowheads="1"/>
        </xdr:cNvSpPr>
      </xdr:nvSpPr>
      <xdr:spPr bwMode="auto">
        <a:xfrm>
          <a:off x="3939988" y="138728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101" name="TextBox 1">
          <a:extLst>
            <a:ext uri="{FF2B5EF4-FFF2-40B4-BE49-F238E27FC236}">
              <a16:creationId xmlns:a16="http://schemas.microsoft.com/office/drawing/2014/main" xmlns="" id="{D68A3A33-7428-42CD-A5D0-DE3FC6CA179B}"/>
            </a:ext>
          </a:extLst>
        </xdr:cNvPr>
        <xdr:cNvSpPr txBox="1">
          <a:spLocks noChangeArrowheads="1"/>
        </xdr:cNvSpPr>
      </xdr:nvSpPr>
      <xdr:spPr bwMode="auto">
        <a:xfrm>
          <a:off x="3939988" y="138728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254000"/>
    <xdr:sp macro="" textlink="">
      <xdr:nvSpPr>
        <xdr:cNvPr id="102" name="TextBox 1">
          <a:extLst>
            <a:ext uri="{FF2B5EF4-FFF2-40B4-BE49-F238E27FC236}">
              <a16:creationId xmlns:a16="http://schemas.microsoft.com/office/drawing/2014/main" xmlns="" id="{3823BA90-0D33-4081-BFBE-59B4F3B6EC1C}"/>
            </a:ext>
          </a:extLst>
        </xdr:cNvPr>
        <xdr:cNvSpPr txBox="1">
          <a:spLocks noChangeArrowheads="1"/>
        </xdr:cNvSpPr>
      </xdr:nvSpPr>
      <xdr:spPr bwMode="auto">
        <a:xfrm>
          <a:off x="3939988" y="13872882"/>
          <a:ext cx="190500" cy="25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517525</xdr:colOff>
      <xdr:row>268</xdr:row>
      <xdr:rowOff>0</xdr:rowOff>
    </xdr:from>
    <xdr:ext cx="188912" cy="63500"/>
    <xdr:sp macro="" textlink="">
      <xdr:nvSpPr>
        <xdr:cNvPr id="103" name="TextBox 37">
          <a:extLst>
            <a:ext uri="{FF2B5EF4-FFF2-40B4-BE49-F238E27FC236}">
              <a16:creationId xmlns:a16="http://schemas.microsoft.com/office/drawing/2014/main" xmlns="" id="{310ABC97-7E94-4CD8-8C44-26CB70DED298}"/>
            </a:ext>
          </a:extLst>
        </xdr:cNvPr>
        <xdr:cNvSpPr txBox="1">
          <a:spLocks noChangeArrowheads="1"/>
        </xdr:cNvSpPr>
      </xdr:nvSpPr>
      <xdr:spPr bwMode="auto">
        <a:xfrm>
          <a:off x="4114613" y="13872882"/>
          <a:ext cx="188912" cy="63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58750"/>
    <xdr:sp macro="" textlink="">
      <xdr:nvSpPr>
        <xdr:cNvPr id="104" name="TextBox 1">
          <a:extLst>
            <a:ext uri="{FF2B5EF4-FFF2-40B4-BE49-F238E27FC236}">
              <a16:creationId xmlns:a16="http://schemas.microsoft.com/office/drawing/2014/main" xmlns="" id="{7A81E05C-ABB0-4AA1-A2DC-F84F73076AA3}"/>
            </a:ext>
          </a:extLst>
        </xdr:cNvPr>
        <xdr:cNvSpPr txBox="1">
          <a:spLocks noChangeArrowheads="1"/>
        </xdr:cNvSpPr>
      </xdr:nvSpPr>
      <xdr:spPr bwMode="auto">
        <a:xfrm>
          <a:off x="3939988" y="138728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105" name="TextBox 1">
          <a:extLst>
            <a:ext uri="{FF2B5EF4-FFF2-40B4-BE49-F238E27FC236}">
              <a16:creationId xmlns:a16="http://schemas.microsoft.com/office/drawing/2014/main" xmlns="" id="{77F6ACEA-4062-43E6-9C72-684C562AEF71}"/>
            </a:ext>
          </a:extLst>
        </xdr:cNvPr>
        <xdr:cNvSpPr txBox="1">
          <a:spLocks noChangeArrowheads="1"/>
        </xdr:cNvSpPr>
      </xdr:nvSpPr>
      <xdr:spPr bwMode="auto">
        <a:xfrm>
          <a:off x="3939988" y="13872882"/>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106" name="TextBox 1">
          <a:extLst>
            <a:ext uri="{FF2B5EF4-FFF2-40B4-BE49-F238E27FC236}">
              <a16:creationId xmlns:a16="http://schemas.microsoft.com/office/drawing/2014/main" xmlns="" id="{CAFEF357-550D-438E-BD6A-2B4B6A4E06DD}"/>
            </a:ext>
          </a:extLst>
        </xdr:cNvPr>
        <xdr:cNvSpPr txBox="1">
          <a:spLocks noChangeArrowheads="1"/>
        </xdr:cNvSpPr>
      </xdr:nvSpPr>
      <xdr:spPr bwMode="auto">
        <a:xfrm>
          <a:off x="3939988" y="138728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107" name="TextBox 1">
          <a:extLst>
            <a:ext uri="{FF2B5EF4-FFF2-40B4-BE49-F238E27FC236}">
              <a16:creationId xmlns:a16="http://schemas.microsoft.com/office/drawing/2014/main" xmlns="" id="{5560F1E5-5FD9-4C9B-A6A6-2BE57FCC020A}"/>
            </a:ext>
          </a:extLst>
        </xdr:cNvPr>
        <xdr:cNvSpPr txBox="1">
          <a:spLocks noChangeArrowheads="1"/>
        </xdr:cNvSpPr>
      </xdr:nvSpPr>
      <xdr:spPr bwMode="auto">
        <a:xfrm>
          <a:off x="3939988" y="138728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108" name="TextBox 1">
          <a:extLst>
            <a:ext uri="{FF2B5EF4-FFF2-40B4-BE49-F238E27FC236}">
              <a16:creationId xmlns:a16="http://schemas.microsoft.com/office/drawing/2014/main" xmlns="" id="{62238C24-ABA3-486E-AAC7-5D0E751D65A6}"/>
            </a:ext>
          </a:extLst>
        </xdr:cNvPr>
        <xdr:cNvSpPr txBox="1">
          <a:spLocks noChangeArrowheads="1"/>
        </xdr:cNvSpPr>
      </xdr:nvSpPr>
      <xdr:spPr bwMode="auto">
        <a:xfrm>
          <a:off x="3939988" y="138728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109" name="TextBox 1">
          <a:extLst>
            <a:ext uri="{FF2B5EF4-FFF2-40B4-BE49-F238E27FC236}">
              <a16:creationId xmlns:a16="http://schemas.microsoft.com/office/drawing/2014/main" xmlns="" id="{C4CD17D5-2F7F-45FF-922F-FB28AA1CF8DE}"/>
            </a:ext>
          </a:extLst>
        </xdr:cNvPr>
        <xdr:cNvSpPr txBox="1">
          <a:spLocks noChangeArrowheads="1"/>
        </xdr:cNvSpPr>
      </xdr:nvSpPr>
      <xdr:spPr bwMode="auto">
        <a:xfrm>
          <a:off x="3939988" y="13872882"/>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110" name="TextBox 1">
          <a:extLst>
            <a:ext uri="{FF2B5EF4-FFF2-40B4-BE49-F238E27FC236}">
              <a16:creationId xmlns:a16="http://schemas.microsoft.com/office/drawing/2014/main" xmlns="" id="{312B6221-9E4D-416C-A4EA-38A2036A3448}"/>
            </a:ext>
          </a:extLst>
        </xdr:cNvPr>
        <xdr:cNvSpPr txBox="1">
          <a:spLocks noChangeArrowheads="1"/>
        </xdr:cNvSpPr>
      </xdr:nvSpPr>
      <xdr:spPr bwMode="auto">
        <a:xfrm>
          <a:off x="3939988" y="138728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58750"/>
    <xdr:sp macro="" textlink="">
      <xdr:nvSpPr>
        <xdr:cNvPr id="111" name="TextBox 1">
          <a:extLst>
            <a:ext uri="{FF2B5EF4-FFF2-40B4-BE49-F238E27FC236}">
              <a16:creationId xmlns:a16="http://schemas.microsoft.com/office/drawing/2014/main" xmlns="" id="{1283A426-D184-4D8F-ABCF-3E4EAF4B58A0}"/>
            </a:ext>
          </a:extLst>
        </xdr:cNvPr>
        <xdr:cNvSpPr txBox="1">
          <a:spLocks noChangeArrowheads="1"/>
        </xdr:cNvSpPr>
      </xdr:nvSpPr>
      <xdr:spPr bwMode="auto">
        <a:xfrm>
          <a:off x="3939988" y="13872882"/>
          <a:ext cx="190500" cy="158750"/>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112" name="TextBox 1">
          <a:extLst>
            <a:ext uri="{FF2B5EF4-FFF2-40B4-BE49-F238E27FC236}">
              <a16:creationId xmlns:a16="http://schemas.microsoft.com/office/drawing/2014/main" xmlns="" id="{F587A54A-ABE8-49D4-BFFD-B5D1C25759DB}"/>
            </a:ext>
          </a:extLst>
        </xdr:cNvPr>
        <xdr:cNvSpPr txBox="1">
          <a:spLocks noChangeArrowheads="1"/>
        </xdr:cNvSpPr>
      </xdr:nvSpPr>
      <xdr:spPr bwMode="auto">
        <a:xfrm>
          <a:off x="3939988" y="13872882"/>
          <a:ext cx="190500" cy="161925"/>
        </a:xfrm>
        <a:prstGeom prst="rect">
          <a:avLst/>
        </a:prstGeom>
        <a:noFill/>
        <a:ln w="9525">
          <a:noFill/>
          <a:miter lim="800000"/>
          <a:headEnd/>
          <a:tailEnd/>
        </a:ln>
      </xdr:spPr>
    </xdr:sp>
    <xdr:clientData/>
  </xdr:oneCellAnchor>
  <xdr:oneCellAnchor>
    <xdr:from>
      <xdr:col>2</xdr:col>
      <xdr:colOff>342900</xdr:colOff>
      <xdr:row>268</xdr:row>
      <xdr:rowOff>0</xdr:rowOff>
    </xdr:from>
    <xdr:ext cx="190500" cy="161925"/>
    <xdr:sp macro="" textlink="">
      <xdr:nvSpPr>
        <xdr:cNvPr id="113" name="TextBox 47">
          <a:extLst>
            <a:ext uri="{FF2B5EF4-FFF2-40B4-BE49-F238E27FC236}">
              <a16:creationId xmlns:a16="http://schemas.microsoft.com/office/drawing/2014/main" xmlns="" id="{3BF9E746-3058-42B5-8870-03B1BE569767}"/>
            </a:ext>
          </a:extLst>
        </xdr:cNvPr>
        <xdr:cNvSpPr txBox="1">
          <a:spLocks noChangeArrowheads="1"/>
        </xdr:cNvSpPr>
      </xdr:nvSpPr>
      <xdr:spPr bwMode="auto">
        <a:xfrm>
          <a:off x="3939988" y="138728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114" name="TextBox 1">
          <a:extLst>
            <a:ext uri="{FF2B5EF4-FFF2-40B4-BE49-F238E27FC236}">
              <a16:creationId xmlns:a16="http://schemas.microsoft.com/office/drawing/2014/main" xmlns="" id="{A574FAF5-E35A-41BC-9E62-9CCED68C9DBA}"/>
            </a:ext>
          </a:extLst>
        </xdr:cNvPr>
        <xdr:cNvSpPr txBox="1">
          <a:spLocks noChangeArrowheads="1"/>
        </xdr:cNvSpPr>
      </xdr:nvSpPr>
      <xdr:spPr bwMode="auto">
        <a:xfrm>
          <a:off x="3939988" y="138728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2</xdr:col>
      <xdr:colOff>342900</xdr:colOff>
      <xdr:row>268</xdr:row>
      <xdr:rowOff>0</xdr:rowOff>
    </xdr:from>
    <xdr:ext cx="190500" cy="161925"/>
    <xdr:sp macro="" textlink="">
      <xdr:nvSpPr>
        <xdr:cNvPr id="115" name="TextBox 1">
          <a:extLst>
            <a:ext uri="{FF2B5EF4-FFF2-40B4-BE49-F238E27FC236}">
              <a16:creationId xmlns:a16="http://schemas.microsoft.com/office/drawing/2014/main" xmlns="" id="{1C48021D-7142-4AF5-A1F1-97CEFCC21909}"/>
            </a:ext>
          </a:extLst>
        </xdr:cNvPr>
        <xdr:cNvSpPr txBox="1">
          <a:spLocks noChangeArrowheads="1"/>
        </xdr:cNvSpPr>
      </xdr:nvSpPr>
      <xdr:spPr bwMode="auto">
        <a:xfrm>
          <a:off x="3939988" y="13872882"/>
          <a:ext cx="190500" cy="161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2023110</xdr:colOff>
      <xdr:row>941</xdr:row>
      <xdr:rowOff>0</xdr:rowOff>
    </xdr:from>
    <xdr:ext cx="184731" cy="264560"/>
    <xdr:sp macro="" textlink="">
      <xdr:nvSpPr>
        <xdr:cNvPr id="2" name="TextBox 1">
          <a:extLst>
            <a:ext uri="{FF2B5EF4-FFF2-40B4-BE49-F238E27FC236}">
              <a16:creationId xmlns:a16="http://schemas.microsoft.com/office/drawing/2014/main" xmlns="" id="{0949706B-4E15-481D-84C8-D685C6822432}"/>
            </a:ext>
          </a:extLst>
        </xdr:cNvPr>
        <xdr:cNvSpPr txBox="1"/>
      </xdr:nvSpPr>
      <xdr:spPr>
        <a:xfrm>
          <a:off x="2537460" y="12947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3" name="TextBox 2">
          <a:extLst>
            <a:ext uri="{FF2B5EF4-FFF2-40B4-BE49-F238E27FC236}">
              <a16:creationId xmlns:a16="http://schemas.microsoft.com/office/drawing/2014/main" xmlns="" id="{5F45EB95-FA45-410A-8E78-A438CB0B1B15}"/>
            </a:ext>
          </a:extLst>
        </xdr:cNvPr>
        <xdr:cNvSpPr txBox="1"/>
      </xdr:nvSpPr>
      <xdr:spPr>
        <a:xfrm>
          <a:off x="2537460" y="12947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4" name="TextBox 3">
          <a:extLst>
            <a:ext uri="{FF2B5EF4-FFF2-40B4-BE49-F238E27FC236}">
              <a16:creationId xmlns:a16="http://schemas.microsoft.com/office/drawing/2014/main" xmlns="" id="{567CDC50-B095-453C-AE75-D0192F2B46FD}"/>
            </a:ext>
          </a:extLst>
        </xdr:cNvPr>
        <xdr:cNvSpPr txBox="1"/>
      </xdr:nvSpPr>
      <xdr:spPr>
        <a:xfrm>
          <a:off x="2537460" y="12947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5" name="TextBox 4">
          <a:extLst>
            <a:ext uri="{FF2B5EF4-FFF2-40B4-BE49-F238E27FC236}">
              <a16:creationId xmlns:a16="http://schemas.microsoft.com/office/drawing/2014/main" xmlns="" id="{1ABB9E12-81AF-4707-AD59-FB6B5BD6E550}"/>
            </a:ext>
          </a:extLst>
        </xdr:cNvPr>
        <xdr:cNvSpPr txBox="1"/>
      </xdr:nvSpPr>
      <xdr:spPr>
        <a:xfrm>
          <a:off x="2537460" y="12947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6" name="TextBox 5">
          <a:extLst>
            <a:ext uri="{FF2B5EF4-FFF2-40B4-BE49-F238E27FC236}">
              <a16:creationId xmlns:a16="http://schemas.microsoft.com/office/drawing/2014/main" xmlns="" id="{C9D2ED61-90AB-4579-B818-D8C568A4F560}"/>
            </a:ext>
          </a:extLst>
        </xdr:cNvPr>
        <xdr:cNvSpPr txBox="1"/>
      </xdr:nvSpPr>
      <xdr:spPr>
        <a:xfrm>
          <a:off x="2537460" y="12947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7" name="TextBox 6">
          <a:extLst>
            <a:ext uri="{FF2B5EF4-FFF2-40B4-BE49-F238E27FC236}">
              <a16:creationId xmlns:a16="http://schemas.microsoft.com/office/drawing/2014/main" xmlns="" id="{F3F2B811-55B5-41B8-9BD2-248ABDE5F442}"/>
            </a:ext>
          </a:extLst>
        </xdr:cNvPr>
        <xdr:cNvSpPr txBox="1"/>
      </xdr:nvSpPr>
      <xdr:spPr>
        <a:xfrm>
          <a:off x="2537460" y="12947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8" name="TextBox 7">
          <a:extLst>
            <a:ext uri="{FF2B5EF4-FFF2-40B4-BE49-F238E27FC236}">
              <a16:creationId xmlns:a16="http://schemas.microsoft.com/office/drawing/2014/main" xmlns="" id="{7A287FFF-7E32-4BFE-B412-55389D02A273}"/>
            </a:ext>
          </a:extLst>
        </xdr:cNvPr>
        <xdr:cNvSpPr txBox="1"/>
      </xdr:nvSpPr>
      <xdr:spPr>
        <a:xfrm>
          <a:off x="2537460" y="12947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9" name="TextBox 8">
          <a:extLst>
            <a:ext uri="{FF2B5EF4-FFF2-40B4-BE49-F238E27FC236}">
              <a16:creationId xmlns:a16="http://schemas.microsoft.com/office/drawing/2014/main" xmlns="" id="{92033966-75E7-4FC4-BEF1-C786E1FF148E}"/>
            </a:ext>
          </a:extLst>
        </xdr:cNvPr>
        <xdr:cNvSpPr txBox="1"/>
      </xdr:nvSpPr>
      <xdr:spPr>
        <a:xfrm>
          <a:off x="2537460" y="12947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0" name="TextBox 9">
          <a:extLst>
            <a:ext uri="{FF2B5EF4-FFF2-40B4-BE49-F238E27FC236}">
              <a16:creationId xmlns:a16="http://schemas.microsoft.com/office/drawing/2014/main" xmlns="" id="{16BD1A26-F455-4F75-B769-2A3676663BEF}"/>
            </a:ext>
          </a:extLst>
        </xdr:cNvPr>
        <xdr:cNvSpPr txBox="1"/>
      </xdr:nvSpPr>
      <xdr:spPr>
        <a:xfrm>
          <a:off x="2537460" y="12947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1" name="TextBox 10">
          <a:extLst>
            <a:ext uri="{FF2B5EF4-FFF2-40B4-BE49-F238E27FC236}">
              <a16:creationId xmlns:a16="http://schemas.microsoft.com/office/drawing/2014/main" xmlns="" id="{82AD5B9B-2697-47C4-9CE2-3CB7CE305056}"/>
            </a:ext>
          </a:extLst>
        </xdr:cNvPr>
        <xdr:cNvSpPr txBox="1"/>
      </xdr:nvSpPr>
      <xdr:spPr>
        <a:xfrm>
          <a:off x="2537460" y="2444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2" name="TextBox 11">
          <a:extLst>
            <a:ext uri="{FF2B5EF4-FFF2-40B4-BE49-F238E27FC236}">
              <a16:creationId xmlns:a16="http://schemas.microsoft.com/office/drawing/2014/main" xmlns="" id="{E6436B06-31B2-481C-A3A1-6C6ECFAB415C}"/>
            </a:ext>
          </a:extLst>
        </xdr:cNvPr>
        <xdr:cNvSpPr txBox="1"/>
      </xdr:nvSpPr>
      <xdr:spPr>
        <a:xfrm>
          <a:off x="2537460" y="2444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3" name="TextBox 12">
          <a:extLst>
            <a:ext uri="{FF2B5EF4-FFF2-40B4-BE49-F238E27FC236}">
              <a16:creationId xmlns:a16="http://schemas.microsoft.com/office/drawing/2014/main" xmlns="" id="{A037E389-944A-4DD8-B463-27D650AEB92D}"/>
            </a:ext>
          </a:extLst>
        </xdr:cNvPr>
        <xdr:cNvSpPr txBox="1"/>
      </xdr:nvSpPr>
      <xdr:spPr>
        <a:xfrm>
          <a:off x="2537460" y="2444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4" name="TextBox 13">
          <a:extLst>
            <a:ext uri="{FF2B5EF4-FFF2-40B4-BE49-F238E27FC236}">
              <a16:creationId xmlns:a16="http://schemas.microsoft.com/office/drawing/2014/main" xmlns="" id="{BE8DEF7F-AC4C-476F-9689-EF8FC3D2B610}"/>
            </a:ext>
          </a:extLst>
        </xdr:cNvPr>
        <xdr:cNvSpPr txBox="1"/>
      </xdr:nvSpPr>
      <xdr:spPr>
        <a:xfrm>
          <a:off x="2537460" y="2444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5" name="TextBox 14">
          <a:extLst>
            <a:ext uri="{FF2B5EF4-FFF2-40B4-BE49-F238E27FC236}">
              <a16:creationId xmlns:a16="http://schemas.microsoft.com/office/drawing/2014/main" xmlns="" id="{AC7139DA-A5F0-4FEE-A4AC-13972A66FBAE}"/>
            </a:ext>
          </a:extLst>
        </xdr:cNvPr>
        <xdr:cNvSpPr txBox="1"/>
      </xdr:nvSpPr>
      <xdr:spPr>
        <a:xfrm>
          <a:off x="2537460" y="2444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6" name="TextBox 15">
          <a:extLst>
            <a:ext uri="{FF2B5EF4-FFF2-40B4-BE49-F238E27FC236}">
              <a16:creationId xmlns:a16="http://schemas.microsoft.com/office/drawing/2014/main" xmlns="" id="{E8B89976-6A70-46F1-96F7-30CEC5DA3BA2}"/>
            </a:ext>
          </a:extLst>
        </xdr:cNvPr>
        <xdr:cNvSpPr txBox="1"/>
      </xdr:nvSpPr>
      <xdr:spPr>
        <a:xfrm>
          <a:off x="2537460" y="2444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7" name="TextBox 16">
          <a:extLst>
            <a:ext uri="{FF2B5EF4-FFF2-40B4-BE49-F238E27FC236}">
              <a16:creationId xmlns:a16="http://schemas.microsoft.com/office/drawing/2014/main" xmlns="" id="{DBFA67BE-48EE-4F3F-93B8-557877C0B39A}"/>
            </a:ext>
          </a:extLst>
        </xdr:cNvPr>
        <xdr:cNvSpPr txBox="1"/>
      </xdr:nvSpPr>
      <xdr:spPr>
        <a:xfrm>
          <a:off x="2537460" y="2444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8" name="TextBox 17">
          <a:extLst>
            <a:ext uri="{FF2B5EF4-FFF2-40B4-BE49-F238E27FC236}">
              <a16:creationId xmlns:a16="http://schemas.microsoft.com/office/drawing/2014/main" xmlns="" id="{47C81B81-E535-426A-9ED0-94010D2FBE03}"/>
            </a:ext>
          </a:extLst>
        </xdr:cNvPr>
        <xdr:cNvSpPr txBox="1"/>
      </xdr:nvSpPr>
      <xdr:spPr>
        <a:xfrm>
          <a:off x="2537460" y="2444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19" name="TextBox 18">
          <a:extLst>
            <a:ext uri="{FF2B5EF4-FFF2-40B4-BE49-F238E27FC236}">
              <a16:creationId xmlns:a16="http://schemas.microsoft.com/office/drawing/2014/main" xmlns="" id="{C28F4A80-E8FC-4FF0-B828-2A617F49569D}"/>
            </a:ext>
          </a:extLst>
        </xdr:cNvPr>
        <xdr:cNvSpPr txBox="1"/>
      </xdr:nvSpPr>
      <xdr:spPr>
        <a:xfrm>
          <a:off x="2537460" y="2444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0" name="TextBox 19">
          <a:extLst>
            <a:ext uri="{FF2B5EF4-FFF2-40B4-BE49-F238E27FC236}">
              <a16:creationId xmlns:a16="http://schemas.microsoft.com/office/drawing/2014/main" xmlns="" id="{6A19796B-E306-4DF3-AE0C-1C19E0DFE4E8}"/>
            </a:ext>
          </a:extLst>
        </xdr:cNvPr>
        <xdr:cNvSpPr txBox="1"/>
      </xdr:nvSpPr>
      <xdr:spPr>
        <a:xfrm>
          <a:off x="2538581" y="15963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1" name="TextBox 20">
          <a:extLst>
            <a:ext uri="{FF2B5EF4-FFF2-40B4-BE49-F238E27FC236}">
              <a16:creationId xmlns:a16="http://schemas.microsoft.com/office/drawing/2014/main" xmlns="" id="{3E3C7AF0-A695-4F2F-963E-9068B665EA65}"/>
            </a:ext>
          </a:extLst>
        </xdr:cNvPr>
        <xdr:cNvSpPr txBox="1"/>
      </xdr:nvSpPr>
      <xdr:spPr>
        <a:xfrm>
          <a:off x="2538581" y="15963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2" name="TextBox 21">
          <a:extLst>
            <a:ext uri="{FF2B5EF4-FFF2-40B4-BE49-F238E27FC236}">
              <a16:creationId xmlns:a16="http://schemas.microsoft.com/office/drawing/2014/main" xmlns="" id="{E0F2F12F-011E-4973-80A1-EC8B541FB4C2}"/>
            </a:ext>
          </a:extLst>
        </xdr:cNvPr>
        <xdr:cNvSpPr txBox="1"/>
      </xdr:nvSpPr>
      <xdr:spPr>
        <a:xfrm>
          <a:off x="2538581" y="15963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3" name="TextBox 22">
          <a:extLst>
            <a:ext uri="{FF2B5EF4-FFF2-40B4-BE49-F238E27FC236}">
              <a16:creationId xmlns:a16="http://schemas.microsoft.com/office/drawing/2014/main" xmlns="" id="{E38AF220-E6D8-4961-9622-057DF148AE6E}"/>
            </a:ext>
          </a:extLst>
        </xdr:cNvPr>
        <xdr:cNvSpPr txBox="1"/>
      </xdr:nvSpPr>
      <xdr:spPr>
        <a:xfrm>
          <a:off x="2538581" y="15963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4" name="TextBox 23">
          <a:extLst>
            <a:ext uri="{FF2B5EF4-FFF2-40B4-BE49-F238E27FC236}">
              <a16:creationId xmlns:a16="http://schemas.microsoft.com/office/drawing/2014/main" xmlns="" id="{B8EA9AB2-F78E-4198-AC14-AD4C7AD75358}"/>
            </a:ext>
          </a:extLst>
        </xdr:cNvPr>
        <xdr:cNvSpPr txBox="1"/>
      </xdr:nvSpPr>
      <xdr:spPr>
        <a:xfrm>
          <a:off x="2538581" y="15963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5" name="TextBox 24">
          <a:extLst>
            <a:ext uri="{FF2B5EF4-FFF2-40B4-BE49-F238E27FC236}">
              <a16:creationId xmlns:a16="http://schemas.microsoft.com/office/drawing/2014/main" xmlns="" id="{7870CA82-9462-4E29-82EE-592B25B79E52}"/>
            </a:ext>
          </a:extLst>
        </xdr:cNvPr>
        <xdr:cNvSpPr txBox="1"/>
      </xdr:nvSpPr>
      <xdr:spPr>
        <a:xfrm>
          <a:off x="2538581" y="15963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6" name="TextBox 25">
          <a:extLst>
            <a:ext uri="{FF2B5EF4-FFF2-40B4-BE49-F238E27FC236}">
              <a16:creationId xmlns:a16="http://schemas.microsoft.com/office/drawing/2014/main" xmlns="" id="{75710109-D204-4BC6-9579-DEBB2956FE40}"/>
            </a:ext>
          </a:extLst>
        </xdr:cNvPr>
        <xdr:cNvSpPr txBox="1"/>
      </xdr:nvSpPr>
      <xdr:spPr>
        <a:xfrm>
          <a:off x="2538581" y="15963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7" name="TextBox 26">
          <a:extLst>
            <a:ext uri="{FF2B5EF4-FFF2-40B4-BE49-F238E27FC236}">
              <a16:creationId xmlns:a16="http://schemas.microsoft.com/office/drawing/2014/main" xmlns="" id="{D052C5F7-025D-47F6-B0C7-903A96A3F3CF}"/>
            </a:ext>
          </a:extLst>
        </xdr:cNvPr>
        <xdr:cNvSpPr txBox="1"/>
      </xdr:nvSpPr>
      <xdr:spPr>
        <a:xfrm>
          <a:off x="2538581" y="15963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8" name="TextBox 27">
          <a:extLst>
            <a:ext uri="{FF2B5EF4-FFF2-40B4-BE49-F238E27FC236}">
              <a16:creationId xmlns:a16="http://schemas.microsoft.com/office/drawing/2014/main" xmlns="" id="{A972283B-1074-4090-99D4-08F418A62F51}"/>
            </a:ext>
          </a:extLst>
        </xdr:cNvPr>
        <xdr:cNvSpPr txBox="1"/>
      </xdr:nvSpPr>
      <xdr:spPr>
        <a:xfrm>
          <a:off x="2538581" y="15963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29" name="TextBox 28">
          <a:extLst>
            <a:ext uri="{FF2B5EF4-FFF2-40B4-BE49-F238E27FC236}">
              <a16:creationId xmlns:a16="http://schemas.microsoft.com/office/drawing/2014/main" xmlns="" id="{B1AD0697-5E7D-4314-AD0E-2429C28E0BFB}"/>
            </a:ext>
          </a:extLst>
        </xdr:cNvPr>
        <xdr:cNvSpPr txBox="1"/>
      </xdr:nvSpPr>
      <xdr:spPr>
        <a:xfrm>
          <a:off x="2538581" y="30112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30" name="TextBox 29">
          <a:extLst>
            <a:ext uri="{FF2B5EF4-FFF2-40B4-BE49-F238E27FC236}">
              <a16:creationId xmlns:a16="http://schemas.microsoft.com/office/drawing/2014/main" xmlns="" id="{B472C550-DC14-490D-9E6E-6128D2549C18}"/>
            </a:ext>
          </a:extLst>
        </xdr:cNvPr>
        <xdr:cNvSpPr txBox="1"/>
      </xdr:nvSpPr>
      <xdr:spPr>
        <a:xfrm>
          <a:off x="2538581" y="30112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31" name="TextBox 30">
          <a:extLst>
            <a:ext uri="{FF2B5EF4-FFF2-40B4-BE49-F238E27FC236}">
              <a16:creationId xmlns:a16="http://schemas.microsoft.com/office/drawing/2014/main" xmlns="" id="{E079D3AE-6684-40D9-AF84-E2D3A69BC618}"/>
            </a:ext>
          </a:extLst>
        </xdr:cNvPr>
        <xdr:cNvSpPr txBox="1"/>
      </xdr:nvSpPr>
      <xdr:spPr>
        <a:xfrm>
          <a:off x="2538581" y="30112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32" name="TextBox 31">
          <a:extLst>
            <a:ext uri="{FF2B5EF4-FFF2-40B4-BE49-F238E27FC236}">
              <a16:creationId xmlns:a16="http://schemas.microsoft.com/office/drawing/2014/main" xmlns="" id="{7B84E358-7188-4451-ADA5-B887C5FD47A9}"/>
            </a:ext>
          </a:extLst>
        </xdr:cNvPr>
        <xdr:cNvSpPr txBox="1"/>
      </xdr:nvSpPr>
      <xdr:spPr>
        <a:xfrm>
          <a:off x="2538581" y="30112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33" name="TextBox 32">
          <a:extLst>
            <a:ext uri="{FF2B5EF4-FFF2-40B4-BE49-F238E27FC236}">
              <a16:creationId xmlns:a16="http://schemas.microsoft.com/office/drawing/2014/main" xmlns="" id="{283BE627-41F7-4C85-B63F-6FD0E5163470}"/>
            </a:ext>
          </a:extLst>
        </xdr:cNvPr>
        <xdr:cNvSpPr txBox="1"/>
      </xdr:nvSpPr>
      <xdr:spPr>
        <a:xfrm>
          <a:off x="2538581" y="30112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34" name="TextBox 33">
          <a:extLst>
            <a:ext uri="{FF2B5EF4-FFF2-40B4-BE49-F238E27FC236}">
              <a16:creationId xmlns:a16="http://schemas.microsoft.com/office/drawing/2014/main" xmlns="" id="{8638E021-1581-42C9-BB7E-AC03E815E748}"/>
            </a:ext>
          </a:extLst>
        </xdr:cNvPr>
        <xdr:cNvSpPr txBox="1"/>
      </xdr:nvSpPr>
      <xdr:spPr>
        <a:xfrm>
          <a:off x="2538581" y="30112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35" name="TextBox 34">
          <a:extLst>
            <a:ext uri="{FF2B5EF4-FFF2-40B4-BE49-F238E27FC236}">
              <a16:creationId xmlns:a16="http://schemas.microsoft.com/office/drawing/2014/main" xmlns="" id="{621139AA-15F7-45A1-B97C-E54F4B07867C}"/>
            </a:ext>
          </a:extLst>
        </xdr:cNvPr>
        <xdr:cNvSpPr txBox="1"/>
      </xdr:nvSpPr>
      <xdr:spPr>
        <a:xfrm>
          <a:off x="2538581" y="30112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36" name="TextBox 35">
          <a:extLst>
            <a:ext uri="{FF2B5EF4-FFF2-40B4-BE49-F238E27FC236}">
              <a16:creationId xmlns:a16="http://schemas.microsoft.com/office/drawing/2014/main" xmlns="" id="{8A732892-5C80-4625-B2E7-3E96A4A28716}"/>
            </a:ext>
          </a:extLst>
        </xdr:cNvPr>
        <xdr:cNvSpPr txBox="1"/>
      </xdr:nvSpPr>
      <xdr:spPr>
        <a:xfrm>
          <a:off x="2538581" y="30112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2023110</xdr:colOff>
      <xdr:row>941</xdr:row>
      <xdr:rowOff>0</xdr:rowOff>
    </xdr:from>
    <xdr:ext cx="184731" cy="264560"/>
    <xdr:sp macro="" textlink="">
      <xdr:nvSpPr>
        <xdr:cNvPr id="37" name="TextBox 36">
          <a:extLst>
            <a:ext uri="{FF2B5EF4-FFF2-40B4-BE49-F238E27FC236}">
              <a16:creationId xmlns:a16="http://schemas.microsoft.com/office/drawing/2014/main" xmlns="" id="{98D8B02D-55BB-4934-BDE8-417E18111EC9}"/>
            </a:ext>
          </a:extLst>
        </xdr:cNvPr>
        <xdr:cNvSpPr txBox="1"/>
      </xdr:nvSpPr>
      <xdr:spPr>
        <a:xfrm>
          <a:off x="2538581" y="30112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olic/AppData/Local/Microsoft/Windows/INetCache/Content.Outlook/1L2OLL7B/438_2025_O&#352;%20Grane&#353;ina_studentski%20gra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proračun"/>
      <sheetName val="V-LEVEL KRILO"/>
      <sheetName val="V-LEVEL BAZEN"/>
      <sheetName val="11 PARKING br.6.1"/>
      <sheetName val="13 ENTRY PIAZZA"/>
      <sheetName val="V LEVEL ZONA"/>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elektro"/>
      <sheetName val="el_sunčana_el"/>
      <sheetName val="proračun gubitak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koeficijenti"/>
      <sheetName val="Hotel kolicine"/>
      <sheetName val="Faktori"/>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16__Prometnice21"/>
      <sheetName val="17__Ograda11"/>
      <sheetName val="18__Krajobraz11"/>
      <sheetName val="16__Prometnice22"/>
      <sheetName val="razni_5"/>
      <sheetName val="oprema_dvor_5"/>
      <sheetName val="V-LEVEL_KRILO5"/>
      <sheetName val="V-LEVEL_BAZEN5"/>
      <sheetName val="11_PARKING_br_6_15"/>
      <sheetName val="13_ENTRY_PIAZZA5"/>
      <sheetName val="V_LEVEL_ZONA5"/>
      <sheetName val="offen_LIDL-Troskovnik-16-17-185"/>
      <sheetName val="f_bazenska_tehnika"/>
      <sheetName val="proračun_gubitaka1"/>
      <sheetName val="f_bazenska_tehnika1"/>
      <sheetName val="opći uvjeti"/>
      <sheetName val="i.1 zemljani radovi"/>
      <sheetName val="i.2 betonski i ab radovi"/>
      <sheetName val="i.3 zidarski radovi"/>
      <sheetName val="i.5 keramičarski radovi"/>
      <sheetName val="i.6 kamenorezački"/>
      <sheetName val="elektro_trosk"/>
      <sheetName val="viiic.0.e"/>
      <sheetName val="Aktivni"/>
      <sheetName val="POMOĆNI"/>
      <sheetName val="Parametri i analize"/>
      <sheetName val="i a_gradevinski radovi"/>
      <sheetName val="1_an_vik"/>
      <sheetName val="5_IZOLATERSKI RADOVI"/>
      <sheetName val="Hotel_kolicine"/>
      <sheetName val="i_1_zemljani_radovi"/>
      <sheetName val="i_2_betonski_i_ab_radovi"/>
      <sheetName val="i_3_zidarski_radovi"/>
      <sheetName val="i_5_keramičarski_radovi"/>
      <sheetName val="i_6_kamenorezački"/>
      <sheetName val="5_IZOLATERSKI_RADOVI"/>
      <sheetName val="elektroinstalacije"/>
      <sheetName val="RAZNI RADOVI"/>
      <sheetName val="konzern-ratios"/>
      <sheetName val="dvorana"/>
      <sheetName val="Rabatte"/>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16__Prometnice25"/>
      <sheetName val="17__Ograda13"/>
      <sheetName val="18__Krajobraz13"/>
      <sheetName val="16__Prometnice26"/>
      <sheetName val="razni_7"/>
      <sheetName val="oprema_dvor_7"/>
      <sheetName val="offen_LIDL-Troskovnik-16-17-187"/>
      <sheetName val="V-LEVEL_KRILO7"/>
      <sheetName val="V-LEVEL_BAZEN7"/>
      <sheetName val="11_PARKING_br_6_17"/>
      <sheetName val="13_ENTRY_PIAZZA7"/>
      <sheetName val="V_LEVEL_ZONA7"/>
      <sheetName val="proračun_gubitaka3"/>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f_bazenska_tehnika2"/>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Hotel_kolicine1"/>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Hotel_kolicine2"/>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 val="troskovnik"/>
      <sheetName val="i_1_zemljani_radovi1"/>
      <sheetName val="i_2_betonski_i_ab_radovi1"/>
      <sheetName val="i_3_zidarski_radovi1"/>
      <sheetName val="i_5_keramičarski_radovi1"/>
      <sheetName val="i_6_kamenorezački1"/>
      <sheetName val="5_IZOLATERSKI_RADOVI1"/>
      <sheetName val="viiic_0_e"/>
      <sheetName val="RAZNI_RADOVI"/>
      <sheetName val="i_a_gradevinski_radovi"/>
      <sheetName val="Peering"/>
      <sheetName val="i_1_zemljani_radovi2"/>
      <sheetName val="i_2_betonski_i_ab_radovi2"/>
      <sheetName val="i_3_zidarski_radovi2"/>
      <sheetName val="i_5_keramičarski_radovi2"/>
      <sheetName val="i_6_kamenorezački2"/>
      <sheetName val="5_IZOLATERSKI_RADOVI2"/>
      <sheetName val="viiic_0_e1"/>
      <sheetName val="RAZNI_RADOVI1"/>
      <sheetName val="i_a_gradevinski_radovi1"/>
      <sheetName val="Parametri_i_analize"/>
      <sheetName val="TABLICA stvarnih količina-LED"/>
      <sheetName val="Automatika"/>
    </sheetNames>
    <sheetDataSet>
      <sheetData sheetId="0" refreshError="1"/>
      <sheetData sheetId="1" refreshError="1">
        <row r="66">
          <cell r="G66">
            <v>81489.785000000003</v>
          </cell>
        </row>
        <row r="130">
          <cell r="G130">
            <v>0</v>
          </cell>
        </row>
        <row r="277">
          <cell r="G277">
            <v>0</v>
          </cell>
        </row>
        <row r="329">
          <cell r="G329">
            <v>0</v>
          </cell>
        </row>
      </sheetData>
      <sheetData sheetId="2" refreshError="1"/>
      <sheetData sheetId="3" refreshError="1"/>
      <sheetData sheetId="4">
        <row r="66">
          <cell r="G66">
            <v>81489.785000000003</v>
          </cell>
        </row>
      </sheetData>
      <sheetData sheetId="5">
        <row r="66">
          <cell r="G66">
            <v>81489.785000000003</v>
          </cell>
        </row>
      </sheetData>
      <sheetData sheetId="6"/>
      <sheetData sheetId="7"/>
      <sheetData sheetId="8">
        <row r="66">
          <cell r="G66">
            <v>81489.785000000003</v>
          </cell>
        </row>
      </sheetData>
      <sheetData sheetId="9" refreshError="1"/>
      <sheetData sheetId="10">
        <row r="66">
          <cell r="G66">
            <v>81489.785000000003</v>
          </cell>
        </row>
      </sheetData>
      <sheetData sheetId="11">
        <row r="66">
          <cell r="G66">
            <v>81489.785000000003</v>
          </cell>
        </row>
      </sheetData>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ow r="66">
          <cell r="G66">
            <v>81489.785000000003</v>
          </cell>
        </row>
      </sheetData>
      <sheetData sheetId="24" refreshError="1"/>
      <sheetData sheetId="25">
        <row r="66">
          <cell r="G66">
            <v>81489.785000000003</v>
          </cell>
        </row>
      </sheetData>
      <sheetData sheetId="26">
        <row r="66">
          <cell r="G66">
            <v>81489.785000000003</v>
          </cell>
        </row>
      </sheetData>
      <sheetData sheetId="27"/>
      <sheetData sheetId="28"/>
      <sheetData sheetId="29">
        <row r="66">
          <cell r="G66">
            <v>81489.785000000003</v>
          </cell>
        </row>
      </sheetData>
      <sheetData sheetId="30">
        <row r="66">
          <cell r="G66">
            <v>81489.785000000003</v>
          </cell>
        </row>
      </sheetData>
      <sheetData sheetId="31">
        <row r="66">
          <cell r="G66">
            <v>81489.785000000003</v>
          </cell>
        </row>
      </sheetData>
      <sheetData sheetId="32">
        <row r="66">
          <cell r="G66">
            <v>81489.785000000003</v>
          </cell>
        </row>
      </sheetData>
      <sheetData sheetId="33"/>
      <sheetData sheetId="34"/>
      <sheetData sheetId="35"/>
      <sheetData sheetId="36"/>
      <sheetData sheetId="37" refreshError="1"/>
      <sheetData sheetId="38">
        <row r="66">
          <cell r="G66">
            <v>81489.785000000003</v>
          </cell>
        </row>
      </sheetData>
      <sheetData sheetId="39">
        <row r="66">
          <cell r="G66">
            <v>81489.785000000003</v>
          </cell>
        </row>
      </sheetData>
      <sheetData sheetId="40">
        <row r="66">
          <cell r="G66">
            <v>81489.785000000003</v>
          </cell>
        </row>
      </sheetData>
      <sheetData sheetId="41">
        <row r="66">
          <cell r="G66">
            <v>81489.785000000003</v>
          </cell>
        </row>
      </sheetData>
      <sheetData sheetId="42">
        <row r="66">
          <cell r="G66">
            <v>81489.785000000003</v>
          </cell>
        </row>
      </sheetData>
      <sheetData sheetId="43" refreshError="1"/>
      <sheetData sheetId="44">
        <row r="66">
          <cell r="G66">
            <v>81489.785000000003</v>
          </cell>
        </row>
      </sheetData>
      <sheetData sheetId="45">
        <row r="66">
          <cell r="G66">
            <v>81489.785000000003</v>
          </cell>
        </row>
      </sheetData>
      <sheetData sheetId="46">
        <row r="66">
          <cell r="G66">
            <v>81489.785000000003</v>
          </cell>
        </row>
      </sheetData>
      <sheetData sheetId="47">
        <row r="66">
          <cell r="G66">
            <v>81489.785000000003</v>
          </cell>
        </row>
      </sheetData>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row r="66">
          <cell r="G66">
            <v>81489.785000000003</v>
          </cell>
        </row>
      </sheetData>
      <sheetData sheetId="54">
        <row r="66">
          <cell r="G66">
            <v>81489.785000000003</v>
          </cell>
        </row>
      </sheetData>
      <sheetData sheetId="55">
        <row r="66">
          <cell r="G66">
            <v>81489.785000000003</v>
          </cell>
        </row>
      </sheetData>
      <sheetData sheetId="56">
        <row r="66">
          <cell r="G66">
            <v>81489.785000000003</v>
          </cell>
        </row>
      </sheetData>
      <sheetData sheetId="57" refreshError="1"/>
      <sheetData sheetId="58" refreshError="1"/>
      <sheetData sheetId="59">
        <row r="66">
          <cell r="G66">
            <v>81489.785000000003</v>
          </cell>
        </row>
      </sheetData>
      <sheetData sheetId="60">
        <row r="66">
          <cell r="G66">
            <v>81489.785000000003</v>
          </cell>
        </row>
      </sheetData>
      <sheetData sheetId="61">
        <row r="66">
          <cell r="G66">
            <v>81489.785000000003</v>
          </cell>
        </row>
      </sheetData>
      <sheetData sheetId="62">
        <row r="66">
          <cell r="G66">
            <v>81489.785000000003</v>
          </cell>
        </row>
      </sheetData>
      <sheetData sheetId="63">
        <row r="66">
          <cell r="G66">
            <v>81489.785000000003</v>
          </cell>
        </row>
      </sheetData>
      <sheetData sheetId="64">
        <row r="66">
          <cell r="G66">
            <v>81489.785000000003</v>
          </cell>
        </row>
      </sheetData>
      <sheetData sheetId="65">
        <row r="66">
          <cell r="G66">
            <v>81489.785000000003</v>
          </cell>
        </row>
      </sheetData>
      <sheetData sheetId="66">
        <row r="66">
          <cell r="G66">
            <v>81489.785000000003</v>
          </cell>
        </row>
      </sheetData>
      <sheetData sheetId="67">
        <row r="66">
          <cell r="G66">
            <v>81489.785000000003</v>
          </cell>
        </row>
      </sheetData>
      <sheetData sheetId="68">
        <row r="66">
          <cell r="G66">
            <v>81489.785000000003</v>
          </cell>
        </row>
      </sheetData>
      <sheetData sheetId="69">
        <row r="66">
          <cell r="G66">
            <v>81489.785000000003</v>
          </cell>
        </row>
      </sheetData>
      <sheetData sheetId="70">
        <row r="66">
          <cell r="G66">
            <v>81489.785000000003</v>
          </cell>
        </row>
      </sheetData>
      <sheetData sheetId="71">
        <row r="66">
          <cell r="G66">
            <v>81489.785000000003</v>
          </cell>
        </row>
      </sheetData>
      <sheetData sheetId="72" refreshError="1"/>
      <sheetData sheetId="73" refreshError="1"/>
      <sheetData sheetId="74" refreshError="1"/>
      <sheetData sheetId="75" refreshError="1"/>
      <sheetData sheetId="76" refreshError="1"/>
      <sheetData sheetId="77" refreshError="1"/>
      <sheetData sheetId="78">
        <row r="66">
          <cell r="G66">
            <v>81489.785000000003</v>
          </cell>
        </row>
      </sheetData>
      <sheetData sheetId="79">
        <row r="66">
          <cell r="G66">
            <v>81489.785000000003</v>
          </cell>
        </row>
      </sheetData>
      <sheetData sheetId="80">
        <row r="66">
          <cell r="G66">
            <v>81489.785000000003</v>
          </cell>
        </row>
      </sheetData>
      <sheetData sheetId="81"/>
      <sheetData sheetId="82">
        <row r="66">
          <cell r="G66">
            <v>81489.785000000003</v>
          </cell>
        </row>
      </sheetData>
      <sheetData sheetId="83">
        <row r="66">
          <cell r="G66">
            <v>81489.785000000003</v>
          </cell>
        </row>
      </sheetData>
      <sheetData sheetId="84">
        <row r="66">
          <cell r="G66">
            <v>81489.785000000003</v>
          </cell>
        </row>
      </sheetData>
      <sheetData sheetId="85">
        <row r="66">
          <cell r="G66">
            <v>81489.785000000003</v>
          </cell>
        </row>
      </sheetData>
      <sheetData sheetId="86">
        <row r="66">
          <cell r="G66">
            <v>81489.785000000003</v>
          </cell>
        </row>
      </sheetData>
      <sheetData sheetId="87">
        <row r="66">
          <cell r="G66">
            <v>81489.785000000003</v>
          </cell>
        </row>
      </sheetData>
      <sheetData sheetId="88">
        <row r="66">
          <cell r="G66">
            <v>81489.785000000003</v>
          </cell>
        </row>
      </sheetData>
      <sheetData sheetId="89">
        <row r="66">
          <cell r="G66">
            <v>81489.785000000003</v>
          </cell>
        </row>
      </sheetData>
      <sheetData sheetId="90">
        <row r="66">
          <cell r="G66">
            <v>81489.785000000003</v>
          </cell>
        </row>
      </sheetData>
      <sheetData sheetId="91">
        <row r="66">
          <cell r="G66">
            <v>81489.785000000003</v>
          </cell>
        </row>
      </sheetData>
      <sheetData sheetId="92">
        <row r="66">
          <cell r="G66">
            <v>81489.785000000003</v>
          </cell>
        </row>
      </sheetData>
      <sheetData sheetId="93"/>
      <sheetData sheetId="94">
        <row r="66">
          <cell r="G66">
            <v>81489.785000000003</v>
          </cell>
        </row>
      </sheetData>
      <sheetData sheetId="95">
        <row r="66">
          <cell r="G66">
            <v>81489.785000000003</v>
          </cell>
        </row>
      </sheetData>
      <sheetData sheetId="96">
        <row r="66">
          <cell r="G66">
            <v>81489.785000000003</v>
          </cell>
        </row>
      </sheetData>
      <sheetData sheetId="97">
        <row r="66">
          <cell r="G66">
            <v>81489.785000000003</v>
          </cell>
        </row>
      </sheetData>
      <sheetData sheetId="98">
        <row r="66">
          <cell r="G66">
            <v>81489.785000000003</v>
          </cell>
        </row>
      </sheetData>
      <sheetData sheetId="99">
        <row r="66">
          <cell r="G66">
            <v>81489.785000000003</v>
          </cell>
        </row>
      </sheetData>
      <sheetData sheetId="100">
        <row r="66">
          <cell r="G66">
            <v>81489.785000000003</v>
          </cell>
        </row>
      </sheetData>
      <sheetData sheetId="101">
        <row r="66">
          <cell r="G66">
            <v>81489.785000000003</v>
          </cell>
        </row>
      </sheetData>
      <sheetData sheetId="102">
        <row r="66">
          <cell r="G66">
            <v>81489.785000000003</v>
          </cell>
        </row>
      </sheetData>
      <sheetData sheetId="103">
        <row r="66">
          <cell r="G66">
            <v>81489.785000000003</v>
          </cell>
        </row>
      </sheetData>
      <sheetData sheetId="104">
        <row r="66">
          <cell r="G66">
            <v>81489.785000000003</v>
          </cell>
        </row>
      </sheetData>
      <sheetData sheetId="105"/>
      <sheetData sheetId="106"/>
      <sheetData sheetId="107">
        <row r="66">
          <cell r="G66">
            <v>81489.785000000003</v>
          </cell>
        </row>
      </sheetData>
      <sheetData sheetId="108"/>
      <sheetData sheetId="109">
        <row r="66">
          <cell r="G66">
            <v>81489.785000000003</v>
          </cell>
        </row>
      </sheetData>
      <sheetData sheetId="110"/>
      <sheetData sheetId="111"/>
      <sheetData sheetId="112"/>
      <sheetData sheetId="113"/>
      <sheetData sheetId="114">
        <row r="66">
          <cell r="G66">
            <v>81489.785000000003</v>
          </cell>
        </row>
      </sheetData>
      <sheetData sheetId="115">
        <row r="66">
          <cell r="G66">
            <v>81489.785000000003</v>
          </cell>
        </row>
      </sheetData>
      <sheetData sheetId="116">
        <row r="66">
          <cell r="G66">
            <v>81489.785000000003</v>
          </cell>
        </row>
      </sheetData>
      <sheetData sheetId="117">
        <row r="66">
          <cell r="G66">
            <v>81489.785000000003</v>
          </cell>
        </row>
      </sheetData>
      <sheetData sheetId="118">
        <row r="66">
          <cell r="G66">
            <v>81489.785000000003</v>
          </cell>
        </row>
      </sheetData>
      <sheetData sheetId="119">
        <row r="66">
          <cell r="G66">
            <v>81489.785000000003</v>
          </cell>
        </row>
      </sheetData>
      <sheetData sheetId="120">
        <row r="66">
          <cell r="G66">
            <v>81489.785000000003</v>
          </cell>
        </row>
      </sheetData>
      <sheetData sheetId="121">
        <row r="66">
          <cell r="G66">
            <v>81489.785000000003</v>
          </cell>
        </row>
      </sheetData>
      <sheetData sheetId="122">
        <row r="66">
          <cell r="G66">
            <v>81489.785000000003</v>
          </cell>
        </row>
      </sheetData>
      <sheetData sheetId="123">
        <row r="66">
          <cell r="G66">
            <v>81489.785000000003</v>
          </cell>
        </row>
      </sheetData>
      <sheetData sheetId="124">
        <row r="66">
          <cell r="G66">
            <v>81489.785000000003</v>
          </cell>
        </row>
      </sheetData>
      <sheetData sheetId="125">
        <row r="66">
          <cell r="G66">
            <v>81489.785000000003</v>
          </cell>
        </row>
      </sheetData>
      <sheetData sheetId="126">
        <row r="66">
          <cell r="G66">
            <v>81489.785000000003</v>
          </cell>
        </row>
      </sheetData>
      <sheetData sheetId="127">
        <row r="66">
          <cell r="G66">
            <v>81489.785000000003</v>
          </cell>
        </row>
      </sheetData>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ow r="66">
          <cell r="G66">
            <v>81489.785000000003</v>
          </cell>
        </row>
      </sheetData>
      <sheetData sheetId="144">
        <row r="66">
          <cell r="G66">
            <v>81489.785000000003</v>
          </cell>
        </row>
      </sheetData>
      <sheetData sheetId="145">
        <row r="66">
          <cell r="G66">
            <v>81489.785000000003</v>
          </cell>
        </row>
      </sheetData>
      <sheetData sheetId="146" refreshError="1"/>
      <sheetData sheetId="147" refreshError="1"/>
      <sheetData sheetId="148" refreshError="1"/>
      <sheetData sheetId="149" refreshError="1"/>
      <sheetData sheetId="150">
        <row r="66">
          <cell r="G66">
            <v>81489.785000000003</v>
          </cell>
        </row>
      </sheetData>
      <sheetData sheetId="151" refreshError="1"/>
      <sheetData sheetId="152" refreshError="1"/>
      <sheetData sheetId="153" refreshError="1"/>
      <sheetData sheetId="154" refreshError="1"/>
      <sheetData sheetId="155">
        <row r="66">
          <cell r="G66">
            <v>81489.785000000003</v>
          </cell>
        </row>
      </sheetData>
      <sheetData sheetId="156">
        <row r="66">
          <cell r="G66">
            <v>81489.785000000003</v>
          </cell>
        </row>
      </sheetData>
      <sheetData sheetId="157">
        <row r="66">
          <cell r="G66">
            <v>81489.785000000003</v>
          </cell>
        </row>
      </sheetData>
      <sheetData sheetId="158">
        <row r="66">
          <cell r="G66">
            <v>81489.785000000003</v>
          </cell>
        </row>
      </sheetData>
      <sheetData sheetId="159">
        <row r="66">
          <cell r="G66">
            <v>81489.785000000003</v>
          </cell>
        </row>
      </sheetData>
      <sheetData sheetId="160"/>
      <sheetData sheetId="161"/>
      <sheetData sheetId="162">
        <row r="66">
          <cell r="G66">
            <v>81489.785000000003</v>
          </cell>
        </row>
      </sheetData>
      <sheetData sheetId="163"/>
      <sheetData sheetId="164">
        <row r="66">
          <cell r="G66">
            <v>81489.785000000003</v>
          </cell>
        </row>
      </sheetData>
      <sheetData sheetId="165">
        <row r="66">
          <cell r="G66">
            <v>81489.785000000003</v>
          </cell>
        </row>
      </sheetData>
      <sheetData sheetId="166">
        <row r="66">
          <cell r="G66">
            <v>81489.785000000003</v>
          </cell>
        </row>
      </sheetData>
      <sheetData sheetId="167"/>
      <sheetData sheetId="168"/>
      <sheetData sheetId="169"/>
      <sheetData sheetId="170">
        <row r="66">
          <cell r="G66">
            <v>81489.785000000003</v>
          </cell>
        </row>
      </sheetData>
      <sheetData sheetId="171">
        <row r="66">
          <cell r="G66">
            <v>81489.785000000003</v>
          </cell>
        </row>
      </sheetData>
      <sheetData sheetId="172"/>
      <sheetData sheetId="173">
        <row r="66">
          <cell r="G66">
            <v>81489.785000000003</v>
          </cell>
        </row>
      </sheetData>
      <sheetData sheetId="174"/>
      <sheetData sheetId="175"/>
      <sheetData sheetId="176"/>
      <sheetData sheetId="177"/>
      <sheetData sheetId="178"/>
      <sheetData sheetId="179"/>
      <sheetData sheetId="180"/>
      <sheetData sheetId="181">
        <row r="66">
          <cell r="G66">
            <v>81489.785000000003</v>
          </cell>
        </row>
      </sheetData>
      <sheetData sheetId="182"/>
      <sheetData sheetId="183">
        <row r="66">
          <cell r="G66">
            <v>81489.785000000003</v>
          </cell>
        </row>
      </sheetData>
      <sheetData sheetId="184"/>
      <sheetData sheetId="185">
        <row r="66">
          <cell r="G66">
            <v>81489.785000000003</v>
          </cell>
        </row>
      </sheetData>
      <sheetData sheetId="186">
        <row r="66">
          <cell r="G66">
            <v>81489.785000000003</v>
          </cell>
        </row>
      </sheetData>
      <sheetData sheetId="187">
        <row r="66">
          <cell r="G66">
            <v>81489.785000000003</v>
          </cell>
        </row>
      </sheetData>
      <sheetData sheetId="188">
        <row r="66">
          <cell r="G66">
            <v>81489.785000000003</v>
          </cell>
        </row>
      </sheetData>
      <sheetData sheetId="189">
        <row r="66">
          <cell r="G66">
            <v>81489.785000000003</v>
          </cell>
        </row>
      </sheetData>
      <sheetData sheetId="190">
        <row r="66">
          <cell r="G66">
            <v>81489.785000000003</v>
          </cell>
        </row>
      </sheetData>
      <sheetData sheetId="191">
        <row r="66">
          <cell r="G66">
            <v>81489.785000000003</v>
          </cell>
        </row>
      </sheetData>
      <sheetData sheetId="192">
        <row r="66">
          <cell r="G66">
            <v>81489.785000000003</v>
          </cell>
        </row>
      </sheetData>
      <sheetData sheetId="193">
        <row r="66">
          <cell r="G66">
            <v>81489.785000000003</v>
          </cell>
        </row>
      </sheetData>
      <sheetData sheetId="194">
        <row r="66">
          <cell r="G66">
            <v>81489.785000000003</v>
          </cell>
        </row>
      </sheetData>
      <sheetData sheetId="195">
        <row r="66">
          <cell r="G66">
            <v>81489.785000000003</v>
          </cell>
        </row>
      </sheetData>
      <sheetData sheetId="196">
        <row r="66">
          <cell r="G66">
            <v>81489.785000000003</v>
          </cell>
        </row>
      </sheetData>
      <sheetData sheetId="197">
        <row r="66">
          <cell r="G66">
            <v>81489.785000000003</v>
          </cell>
        </row>
      </sheetData>
      <sheetData sheetId="198">
        <row r="66">
          <cell r="G66">
            <v>81489.785000000003</v>
          </cell>
        </row>
      </sheetData>
      <sheetData sheetId="199">
        <row r="66">
          <cell r="G66">
            <v>81489.785000000003</v>
          </cell>
        </row>
      </sheetData>
      <sheetData sheetId="200">
        <row r="66">
          <cell r="G66">
            <v>81489.785000000003</v>
          </cell>
        </row>
      </sheetData>
      <sheetData sheetId="201">
        <row r="66">
          <cell r="G66">
            <v>81489.785000000003</v>
          </cell>
        </row>
      </sheetData>
      <sheetData sheetId="202">
        <row r="66">
          <cell r="G66">
            <v>81489.785000000003</v>
          </cell>
        </row>
      </sheetData>
      <sheetData sheetId="203">
        <row r="66">
          <cell r="G66">
            <v>81489.785000000003</v>
          </cell>
        </row>
      </sheetData>
      <sheetData sheetId="204">
        <row r="66">
          <cell r="G66">
            <v>81489.785000000003</v>
          </cell>
        </row>
      </sheetData>
      <sheetData sheetId="205">
        <row r="66">
          <cell r="G66">
            <v>81489.785000000003</v>
          </cell>
        </row>
      </sheetData>
      <sheetData sheetId="206">
        <row r="66">
          <cell r="G66">
            <v>81489.785000000003</v>
          </cell>
        </row>
      </sheetData>
      <sheetData sheetId="207">
        <row r="66">
          <cell r="G66">
            <v>81489.785000000003</v>
          </cell>
        </row>
      </sheetData>
      <sheetData sheetId="208">
        <row r="66">
          <cell r="G66">
            <v>81489.785000000003</v>
          </cell>
        </row>
      </sheetData>
      <sheetData sheetId="209"/>
      <sheetData sheetId="210">
        <row r="66">
          <cell r="G66">
            <v>81489.785000000003</v>
          </cell>
        </row>
      </sheetData>
      <sheetData sheetId="211"/>
      <sheetData sheetId="212"/>
      <sheetData sheetId="213"/>
      <sheetData sheetId="214"/>
      <sheetData sheetId="215"/>
      <sheetData sheetId="216"/>
      <sheetData sheetId="217"/>
      <sheetData sheetId="218"/>
      <sheetData sheetId="219"/>
      <sheetData sheetId="220">
        <row r="66">
          <cell r="G66">
            <v>81489.785000000003</v>
          </cell>
        </row>
      </sheetData>
      <sheetData sheetId="221"/>
      <sheetData sheetId="222">
        <row r="66">
          <cell r="G66">
            <v>81489.785000000003</v>
          </cell>
        </row>
      </sheetData>
      <sheetData sheetId="223"/>
      <sheetData sheetId="224">
        <row r="66">
          <cell r="G66">
            <v>81489.785000000003</v>
          </cell>
        </row>
      </sheetData>
      <sheetData sheetId="225"/>
      <sheetData sheetId="226"/>
      <sheetData sheetId="227"/>
      <sheetData sheetId="228"/>
      <sheetData sheetId="229"/>
      <sheetData sheetId="230"/>
      <sheetData sheetId="231"/>
      <sheetData sheetId="232"/>
      <sheetData sheetId="233">
        <row r="66">
          <cell r="G66">
            <v>81489.785000000003</v>
          </cell>
        </row>
      </sheetData>
      <sheetData sheetId="234"/>
      <sheetData sheetId="235"/>
      <sheetData sheetId="236"/>
      <sheetData sheetId="237"/>
      <sheetData sheetId="238">
        <row r="66">
          <cell r="G66">
            <v>81489.785000000003</v>
          </cell>
        </row>
      </sheetData>
      <sheetData sheetId="239"/>
      <sheetData sheetId="240"/>
      <sheetData sheetId="241">
        <row r="66">
          <cell r="G66">
            <v>81489.785000000003</v>
          </cell>
        </row>
      </sheetData>
      <sheetData sheetId="242"/>
      <sheetData sheetId="243"/>
      <sheetData sheetId="244"/>
      <sheetData sheetId="245"/>
      <sheetData sheetId="246"/>
      <sheetData sheetId="247">
        <row r="66">
          <cell r="G66">
            <v>81489.785000000003</v>
          </cell>
        </row>
      </sheetData>
      <sheetData sheetId="248"/>
      <sheetData sheetId="249"/>
      <sheetData sheetId="250"/>
      <sheetData sheetId="251"/>
      <sheetData sheetId="252"/>
      <sheetData sheetId="253">
        <row r="66">
          <cell r="G66">
            <v>81489.785000000003</v>
          </cell>
        </row>
      </sheetData>
      <sheetData sheetId="254"/>
      <sheetData sheetId="255"/>
      <sheetData sheetId="256">
        <row r="66">
          <cell r="G66">
            <v>81489.785000000003</v>
          </cell>
        </row>
      </sheetData>
      <sheetData sheetId="257"/>
      <sheetData sheetId="258"/>
      <sheetData sheetId="259"/>
      <sheetData sheetId="260"/>
      <sheetData sheetId="261">
        <row r="66">
          <cell r="G66">
            <v>81489.785000000003</v>
          </cell>
        </row>
      </sheetData>
      <sheetData sheetId="262"/>
      <sheetData sheetId="263"/>
      <sheetData sheetId="264">
        <row r="66">
          <cell r="G66">
            <v>81489.785000000003</v>
          </cell>
        </row>
      </sheetData>
      <sheetData sheetId="265"/>
      <sheetData sheetId="266"/>
      <sheetData sheetId="267">
        <row r="66">
          <cell r="G66">
            <v>81489.785000000003</v>
          </cell>
        </row>
      </sheetData>
      <sheetData sheetId="268"/>
      <sheetData sheetId="269"/>
      <sheetData sheetId="270">
        <row r="66">
          <cell r="G66">
            <v>81489.785000000003</v>
          </cell>
        </row>
      </sheetData>
      <sheetData sheetId="271"/>
      <sheetData sheetId="272"/>
      <sheetData sheetId="273"/>
      <sheetData sheetId="274"/>
      <sheetData sheetId="275">
        <row r="66">
          <cell r="G66">
            <v>81489.785000000003</v>
          </cell>
        </row>
      </sheetData>
      <sheetData sheetId="276"/>
      <sheetData sheetId="277"/>
      <sheetData sheetId="278">
        <row r="66">
          <cell r="G66">
            <v>81489.785000000003</v>
          </cell>
        </row>
      </sheetData>
      <sheetData sheetId="279"/>
      <sheetData sheetId="280"/>
      <sheetData sheetId="281">
        <row r="66">
          <cell r="G66">
            <v>81489.785000000003</v>
          </cell>
        </row>
      </sheetData>
      <sheetData sheetId="282"/>
      <sheetData sheetId="283"/>
      <sheetData sheetId="284"/>
      <sheetData sheetId="285"/>
      <sheetData sheetId="286"/>
      <sheetData sheetId="287"/>
      <sheetData sheetId="288"/>
      <sheetData sheetId="289">
        <row r="66">
          <cell r="G66">
            <v>81489.785000000003</v>
          </cell>
        </row>
      </sheetData>
      <sheetData sheetId="290"/>
      <sheetData sheetId="291">
        <row r="66">
          <cell r="G66">
            <v>81489.785000000003</v>
          </cell>
        </row>
      </sheetData>
      <sheetData sheetId="292">
        <row r="66">
          <cell r="G66">
            <v>81489.785000000003</v>
          </cell>
        </row>
      </sheetData>
      <sheetData sheetId="293">
        <row r="66">
          <cell r="G66">
            <v>81489.785000000003</v>
          </cell>
        </row>
      </sheetData>
      <sheetData sheetId="294">
        <row r="66">
          <cell r="G66">
            <v>81489.785000000003</v>
          </cell>
        </row>
      </sheetData>
      <sheetData sheetId="295">
        <row r="66">
          <cell r="G66">
            <v>81489.785000000003</v>
          </cell>
        </row>
      </sheetData>
      <sheetData sheetId="296"/>
      <sheetData sheetId="297"/>
      <sheetData sheetId="298">
        <row r="66">
          <cell r="G66">
            <v>81489.785000000003</v>
          </cell>
        </row>
      </sheetData>
      <sheetData sheetId="299"/>
      <sheetData sheetId="300"/>
      <sheetData sheetId="301"/>
      <sheetData sheetId="302"/>
      <sheetData sheetId="303">
        <row r="66">
          <cell r="G66">
            <v>81489.785000000003</v>
          </cell>
        </row>
      </sheetData>
      <sheetData sheetId="304"/>
      <sheetData sheetId="305"/>
      <sheetData sheetId="306">
        <row r="66">
          <cell r="G66">
            <v>81489.785000000003</v>
          </cell>
        </row>
      </sheetData>
      <sheetData sheetId="307"/>
      <sheetData sheetId="308">
        <row r="66">
          <cell r="G66">
            <v>81489.785000000003</v>
          </cell>
        </row>
      </sheetData>
      <sheetData sheetId="309">
        <row r="66">
          <cell r="G66">
            <v>81489.785000000003</v>
          </cell>
        </row>
      </sheetData>
      <sheetData sheetId="310">
        <row r="66">
          <cell r="G66">
            <v>81489.785000000003</v>
          </cell>
        </row>
      </sheetData>
      <sheetData sheetId="311"/>
      <sheetData sheetId="312"/>
      <sheetData sheetId="313">
        <row r="66">
          <cell r="G66">
            <v>81489.785000000003</v>
          </cell>
        </row>
      </sheetData>
      <sheetData sheetId="314"/>
      <sheetData sheetId="315">
        <row r="66">
          <cell r="G66">
            <v>81489.785000000003</v>
          </cell>
        </row>
      </sheetData>
      <sheetData sheetId="316">
        <row r="66">
          <cell r="G66">
            <v>81489.785000000003</v>
          </cell>
        </row>
      </sheetData>
      <sheetData sheetId="317">
        <row r="66">
          <cell r="G66">
            <v>81489.785000000003</v>
          </cell>
        </row>
      </sheetData>
      <sheetData sheetId="318"/>
      <sheetData sheetId="319"/>
      <sheetData sheetId="320">
        <row r="66">
          <cell r="G66">
            <v>81489.785000000003</v>
          </cell>
        </row>
      </sheetData>
      <sheetData sheetId="321"/>
      <sheetData sheetId="322">
        <row r="66">
          <cell r="G66">
            <v>81489.785000000003</v>
          </cell>
        </row>
      </sheetData>
      <sheetData sheetId="323"/>
      <sheetData sheetId="324">
        <row r="66">
          <cell r="G66">
            <v>81489.785000000003</v>
          </cell>
        </row>
      </sheetData>
      <sheetData sheetId="325">
        <row r="66">
          <cell r="G66">
            <v>81489.785000000003</v>
          </cell>
        </row>
      </sheetData>
      <sheetData sheetId="326">
        <row r="66">
          <cell r="G66">
            <v>81489.785000000003</v>
          </cell>
        </row>
      </sheetData>
      <sheetData sheetId="327"/>
      <sheetData sheetId="328">
        <row r="66">
          <cell r="G66">
            <v>81489.785000000003</v>
          </cell>
        </row>
      </sheetData>
      <sheetData sheetId="329"/>
      <sheetData sheetId="330">
        <row r="66">
          <cell r="G66">
            <v>81489.785000000003</v>
          </cell>
        </row>
      </sheetData>
      <sheetData sheetId="331">
        <row r="66">
          <cell r="G66">
            <v>81489.785000000003</v>
          </cell>
        </row>
      </sheetData>
      <sheetData sheetId="332">
        <row r="66">
          <cell r="G66">
            <v>81489.785000000003</v>
          </cell>
        </row>
      </sheetData>
      <sheetData sheetId="333"/>
      <sheetData sheetId="334"/>
      <sheetData sheetId="335"/>
      <sheetData sheetId="336"/>
      <sheetData sheetId="337"/>
      <sheetData sheetId="338">
        <row r="66">
          <cell r="G66">
            <v>81489.785000000003</v>
          </cell>
        </row>
      </sheetData>
      <sheetData sheetId="339"/>
      <sheetData sheetId="340">
        <row r="66">
          <cell r="G66">
            <v>81489.785000000003</v>
          </cell>
        </row>
      </sheetData>
      <sheetData sheetId="341">
        <row r="66">
          <cell r="G66">
            <v>81489.785000000003</v>
          </cell>
        </row>
      </sheetData>
      <sheetData sheetId="342">
        <row r="66">
          <cell r="G66">
            <v>81489.785000000003</v>
          </cell>
        </row>
      </sheetData>
      <sheetData sheetId="343">
        <row r="66">
          <cell r="G66">
            <v>81489.785000000003</v>
          </cell>
        </row>
      </sheetData>
      <sheetData sheetId="344"/>
      <sheetData sheetId="345">
        <row r="66">
          <cell r="G66">
            <v>81489.785000000003</v>
          </cell>
        </row>
      </sheetData>
      <sheetData sheetId="346">
        <row r="66">
          <cell r="G66">
            <v>81489.785000000003</v>
          </cell>
        </row>
      </sheetData>
      <sheetData sheetId="347">
        <row r="66">
          <cell r="G66">
            <v>81489.785000000003</v>
          </cell>
        </row>
      </sheetData>
      <sheetData sheetId="348"/>
      <sheetData sheetId="349"/>
      <sheetData sheetId="350"/>
      <sheetData sheetId="351"/>
      <sheetData sheetId="352"/>
      <sheetData sheetId="353">
        <row r="66">
          <cell r="G66">
            <v>81489.785000000003</v>
          </cell>
        </row>
      </sheetData>
      <sheetData sheetId="354"/>
      <sheetData sheetId="355">
        <row r="66">
          <cell r="G66">
            <v>81489.785000000003</v>
          </cell>
        </row>
      </sheetData>
      <sheetData sheetId="356">
        <row r="66">
          <cell r="G66">
            <v>81489.785000000003</v>
          </cell>
        </row>
      </sheetData>
      <sheetData sheetId="357">
        <row r="66">
          <cell r="G66">
            <v>81489.785000000003</v>
          </cell>
        </row>
      </sheetData>
      <sheetData sheetId="358">
        <row r="66">
          <cell r="G66">
            <v>81489.785000000003</v>
          </cell>
        </row>
      </sheetData>
      <sheetData sheetId="359"/>
      <sheetData sheetId="360">
        <row r="66">
          <cell r="G66">
            <v>81489.785000000003</v>
          </cell>
        </row>
      </sheetData>
      <sheetData sheetId="361">
        <row r="66">
          <cell r="G66">
            <v>81489.785000000003</v>
          </cell>
        </row>
      </sheetData>
      <sheetData sheetId="362">
        <row r="66">
          <cell r="G66">
            <v>81489.785000000003</v>
          </cell>
        </row>
      </sheetData>
      <sheetData sheetId="363"/>
      <sheetData sheetId="364"/>
      <sheetData sheetId="365"/>
      <sheetData sheetId="366"/>
      <sheetData sheetId="367"/>
      <sheetData sheetId="368">
        <row r="66">
          <cell r="G66">
            <v>81489.785000000003</v>
          </cell>
        </row>
      </sheetData>
      <sheetData sheetId="369"/>
      <sheetData sheetId="370">
        <row r="66">
          <cell r="G66">
            <v>81489.785000000003</v>
          </cell>
        </row>
      </sheetData>
      <sheetData sheetId="371">
        <row r="66">
          <cell r="G66">
            <v>81489.785000000003</v>
          </cell>
        </row>
      </sheetData>
      <sheetData sheetId="372">
        <row r="66">
          <cell r="G66">
            <v>81489.785000000003</v>
          </cell>
        </row>
      </sheetData>
      <sheetData sheetId="373">
        <row r="66">
          <cell r="G66">
            <v>81489.785000000003</v>
          </cell>
        </row>
      </sheetData>
      <sheetData sheetId="374"/>
      <sheetData sheetId="375">
        <row r="66">
          <cell r="G66">
            <v>81489.785000000003</v>
          </cell>
        </row>
      </sheetData>
      <sheetData sheetId="376">
        <row r="66">
          <cell r="G66">
            <v>81489.785000000003</v>
          </cell>
        </row>
      </sheetData>
      <sheetData sheetId="377">
        <row r="66">
          <cell r="G66">
            <v>81489.785000000003</v>
          </cell>
        </row>
      </sheetData>
      <sheetData sheetId="378"/>
      <sheetData sheetId="379"/>
      <sheetData sheetId="380"/>
      <sheetData sheetId="381"/>
      <sheetData sheetId="382"/>
      <sheetData sheetId="383">
        <row r="66">
          <cell r="G66">
            <v>81489.785000000003</v>
          </cell>
        </row>
      </sheetData>
      <sheetData sheetId="384"/>
      <sheetData sheetId="385">
        <row r="66">
          <cell r="G66">
            <v>81489.785000000003</v>
          </cell>
        </row>
      </sheetData>
      <sheetData sheetId="386">
        <row r="66">
          <cell r="G66">
            <v>81489.785000000003</v>
          </cell>
        </row>
      </sheetData>
      <sheetData sheetId="387">
        <row r="66">
          <cell r="G66">
            <v>81489.785000000003</v>
          </cell>
        </row>
      </sheetData>
      <sheetData sheetId="388">
        <row r="66">
          <cell r="G66">
            <v>81489.785000000003</v>
          </cell>
        </row>
      </sheetData>
      <sheetData sheetId="389"/>
      <sheetData sheetId="390">
        <row r="66">
          <cell r="G66">
            <v>81489.785000000003</v>
          </cell>
        </row>
      </sheetData>
      <sheetData sheetId="391">
        <row r="66">
          <cell r="G66">
            <v>81489.785000000003</v>
          </cell>
        </row>
      </sheetData>
      <sheetData sheetId="392">
        <row r="66">
          <cell r="G66">
            <v>81489.785000000003</v>
          </cell>
        </row>
      </sheetData>
      <sheetData sheetId="393"/>
      <sheetData sheetId="394"/>
      <sheetData sheetId="395"/>
      <sheetData sheetId="396"/>
      <sheetData sheetId="397"/>
      <sheetData sheetId="398">
        <row r="66">
          <cell r="G66">
            <v>81489.785000000003</v>
          </cell>
        </row>
      </sheetData>
      <sheetData sheetId="399"/>
      <sheetData sheetId="400">
        <row r="66">
          <cell r="G66">
            <v>81489.785000000003</v>
          </cell>
        </row>
      </sheetData>
      <sheetData sheetId="401">
        <row r="66">
          <cell r="G66">
            <v>81489.785000000003</v>
          </cell>
        </row>
      </sheetData>
      <sheetData sheetId="402">
        <row r="66">
          <cell r="G66">
            <v>81489.785000000003</v>
          </cell>
        </row>
      </sheetData>
      <sheetData sheetId="403">
        <row r="66">
          <cell r="G66">
            <v>81489.785000000003</v>
          </cell>
        </row>
      </sheetData>
      <sheetData sheetId="404"/>
      <sheetData sheetId="405">
        <row r="66">
          <cell r="G66">
            <v>81489.785000000003</v>
          </cell>
        </row>
      </sheetData>
      <sheetData sheetId="406">
        <row r="66">
          <cell r="G66">
            <v>81489.785000000003</v>
          </cell>
        </row>
      </sheetData>
      <sheetData sheetId="407">
        <row r="66">
          <cell r="G66">
            <v>81489.785000000003</v>
          </cell>
        </row>
      </sheetData>
      <sheetData sheetId="408"/>
      <sheetData sheetId="409"/>
      <sheetData sheetId="410"/>
      <sheetData sheetId="411"/>
      <sheetData sheetId="412"/>
      <sheetData sheetId="413">
        <row r="66">
          <cell r="G66">
            <v>81489.785000000003</v>
          </cell>
        </row>
      </sheetData>
      <sheetData sheetId="414"/>
      <sheetData sheetId="415">
        <row r="66">
          <cell r="G66">
            <v>81489.785000000003</v>
          </cell>
        </row>
      </sheetData>
      <sheetData sheetId="416">
        <row r="66">
          <cell r="G66">
            <v>81489.785000000003</v>
          </cell>
        </row>
      </sheetData>
      <sheetData sheetId="417">
        <row r="66">
          <cell r="G66">
            <v>81489.785000000003</v>
          </cell>
        </row>
      </sheetData>
      <sheetData sheetId="418">
        <row r="66">
          <cell r="G66">
            <v>81489.785000000003</v>
          </cell>
        </row>
      </sheetData>
      <sheetData sheetId="419"/>
      <sheetData sheetId="420">
        <row r="66">
          <cell r="G66">
            <v>81489.785000000003</v>
          </cell>
        </row>
      </sheetData>
      <sheetData sheetId="421">
        <row r="66">
          <cell r="G66">
            <v>81489.785000000003</v>
          </cell>
        </row>
      </sheetData>
      <sheetData sheetId="422">
        <row r="66">
          <cell r="G66">
            <v>81489.785000000003</v>
          </cell>
        </row>
      </sheetData>
      <sheetData sheetId="423"/>
      <sheetData sheetId="424"/>
      <sheetData sheetId="425"/>
      <sheetData sheetId="426"/>
      <sheetData sheetId="427"/>
      <sheetData sheetId="428">
        <row r="66">
          <cell r="G66">
            <v>81489.785000000003</v>
          </cell>
        </row>
      </sheetData>
      <sheetData sheetId="429"/>
      <sheetData sheetId="430">
        <row r="66">
          <cell r="G66">
            <v>81489.785000000003</v>
          </cell>
        </row>
      </sheetData>
      <sheetData sheetId="431">
        <row r="66">
          <cell r="G66">
            <v>81489.785000000003</v>
          </cell>
        </row>
      </sheetData>
      <sheetData sheetId="432">
        <row r="66">
          <cell r="G66">
            <v>81489.785000000003</v>
          </cell>
        </row>
      </sheetData>
      <sheetData sheetId="433">
        <row r="66">
          <cell r="G66">
            <v>81489.785000000003</v>
          </cell>
        </row>
      </sheetData>
      <sheetData sheetId="434"/>
      <sheetData sheetId="435">
        <row r="66">
          <cell r="G66">
            <v>81489.785000000003</v>
          </cell>
        </row>
      </sheetData>
      <sheetData sheetId="436">
        <row r="66">
          <cell r="G66">
            <v>81489.785000000003</v>
          </cell>
        </row>
      </sheetData>
      <sheetData sheetId="437">
        <row r="66">
          <cell r="G66">
            <v>81489.785000000003</v>
          </cell>
        </row>
      </sheetData>
      <sheetData sheetId="438"/>
      <sheetData sheetId="439"/>
      <sheetData sheetId="440"/>
      <sheetData sheetId="441"/>
      <sheetData sheetId="442"/>
      <sheetData sheetId="443">
        <row r="66">
          <cell r="G66">
            <v>81489.785000000003</v>
          </cell>
        </row>
      </sheetData>
      <sheetData sheetId="444"/>
      <sheetData sheetId="445">
        <row r="66">
          <cell r="G66">
            <v>81489.785000000003</v>
          </cell>
        </row>
      </sheetData>
      <sheetData sheetId="446">
        <row r="66">
          <cell r="G66">
            <v>81489.785000000003</v>
          </cell>
        </row>
      </sheetData>
      <sheetData sheetId="447">
        <row r="66">
          <cell r="G66">
            <v>81489.785000000003</v>
          </cell>
        </row>
      </sheetData>
      <sheetData sheetId="448">
        <row r="66">
          <cell r="G66">
            <v>81489.785000000003</v>
          </cell>
        </row>
      </sheetData>
      <sheetData sheetId="449"/>
      <sheetData sheetId="450">
        <row r="66">
          <cell r="G66">
            <v>81489.785000000003</v>
          </cell>
        </row>
      </sheetData>
      <sheetData sheetId="451">
        <row r="66">
          <cell r="G66">
            <v>81489.785000000003</v>
          </cell>
        </row>
      </sheetData>
      <sheetData sheetId="452">
        <row r="66">
          <cell r="G66">
            <v>81489.785000000003</v>
          </cell>
        </row>
      </sheetData>
      <sheetData sheetId="453"/>
      <sheetData sheetId="454"/>
      <sheetData sheetId="455"/>
      <sheetData sheetId="456">
        <row r="66">
          <cell r="G66">
            <v>81489.785000000003</v>
          </cell>
        </row>
      </sheetData>
      <sheetData sheetId="457"/>
      <sheetData sheetId="458"/>
      <sheetData sheetId="459"/>
      <sheetData sheetId="460"/>
      <sheetData sheetId="461"/>
      <sheetData sheetId="462"/>
      <sheetData sheetId="463">
        <row r="66">
          <cell r="G66">
            <v>81489.785000000003</v>
          </cell>
        </row>
      </sheetData>
      <sheetData sheetId="464"/>
      <sheetData sheetId="465">
        <row r="66">
          <cell r="G66">
            <v>81489.785000000003</v>
          </cell>
        </row>
      </sheetData>
      <sheetData sheetId="466">
        <row r="66">
          <cell r="G66">
            <v>81489.785000000003</v>
          </cell>
        </row>
      </sheetData>
      <sheetData sheetId="467">
        <row r="66">
          <cell r="G66">
            <v>81489.785000000003</v>
          </cell>
        </row>
      </sheetData>
      <sheetData sheetId="468"/>
      <sheetData sheetId="469"/>
      <sheetData sheetId="470"/>
      <sheetData sheetId="471" refreshError="1"/>
      <sheetData sheetId="472"/>
      <sheetData sheetId="473">
        <row r="66">
          <cell r="G66">
            <v>81489.785000000003</v>
          </cell>
        </row>
      </sheetData>
      <sheetData sheetId="474">
        <row r="66">
          <cell r="G66">
            <v>81489.785000000003</v>
          </cell>
        </row>
      </sheetData>
      <sheetData sheetId="475">
        <row r="66">
          <cell r="G66">
            <v>81489.785000000003</v>
          </cell>
        </row>
      </sheetData>
      <sheetData sheetId="476"/>
      <sheetData sheetId="477"/>
      <sheetData sheetId="478"/>
      <sheetData sheetId="479"/>
      <sheetData sheetId="480"/>
      <sheetData sheetId="481"/>
      <sheetData sheetId="482"/>
      <sheetData sheetId="483"/>
      <sheetData sheetId="484">
        <row r="66">
          <cell r="G66">
            <v>81489.785000000003</v>
          </cell>
        </row>
      </sheetData>
      <sheetData sheetId="485">
        <row r="66">
          <cell r="G66">
            <v>81489.785000000003</v>
          </cell>
        </row>
      </sheetData>
      <sheetData sheetId="486">
        <row r="66">
          <cell r="G66">
            <v>81489.785000000003</v>
          </cell>
        </row>
      </sheetData>
      <sheetData sheetId="487">
        <row r="66">
          <cell r="G66">
            <v>81489.785000000003</v>
          </cell>
        </row>
      </sheetData>
      <sheetData sheetId="488">
        <row r="66">
          <cell r="G66">
            <v>81489.785000000003</v>
          </cell>
        </row>
      </sheetData>
      <sheetData sheetId="489" refreshError="1"/>
      <sheetData sheetId="490" refreshError="1"/>
      <sheetData sheetId="491" refreshError="1"/>
      <sheetData sheetId="492" refreshError="1"/>
      <sheetData sheetId="49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pćenito"/>
      <sheetName val="A"/>
      <sheetName val="B"/>
      <sheetName val="C"/>
      <sheetName val="D"/>
      <sheetName val="E"/>
      <sheetName val="F"/>
      <sheetName val="G"/>
      <sheetName val="H"/>
      <sheetName val="I"/>
      <sheetName val="J"/>
      <sheetName val="Rekapitulacij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FF00"/>
  </sheetPr>
  <dimension ref="A1:F191"/>
  <sheetViews>
    <sheetView view="pageBreakPreview" topLeftCell="A33" zoomScale="130" zoomScaleNormal="85" zoomScaleSheetLayoutView="130" workbookViewId="0">
      <selection activeCell="B38" sqref="B38:D38"/>
    </sheetView>
  </sheetViews>
  <sheetFormatPr defaultColWidth="8.85546875" defaultRowHeight="15"/>
  <cols>
    <col min="1" max="1" width="8.7109375" style="9" customWidth="1"/>
    <col min="2" max="2" width="40.7109375" style="6" customWidth="1"/>
    <col min="3" max="3" width="7.7109375" style="12" customWidth="1"/>
    <col min="4" max="4" width="8.7109375" style="12" customWidth="1"/>
    <col min="5" max="5" width="13.7109375" style="12" customWidth="1"/>
    <col min="6" max="6" width="16.7109375" style="12" customWidth="1"/>
    <col min="7" max="16384" width="8.85546875" style="12"/>
  </cols>
  <sheetData>
    <row r="1" spans="1:6">
      <c r="A1" s="234"/>
      <c r="B1" s="235" t="s">
        <v>825</v>
      </c>
      <c r="C1" s="236"/>
      <c r="D1" s="237"/>
      <c r="E1" s="238"/>
      <c r="F1" s="239"/>
    </row>
    <row r="2" spans="1:6">
      <c r="A2" s="234"/>
      <c r="B2" s="240"/>
      <c r="C2" s="236"/>
      <c r="D2" s="237"/>
      <c r="E2" s="238"/>
      <c r="F2" s="239"/>
    </row>
    <row r="3" spans="1:6">
      <c r="A3" s="234"/>
      <c r="B3" s="240" t="s">
        <v>826</v>
      </c>
      <c r="C3" s="236"/>
      <c r="D3" s="237"/>
      <c r="E3" s="238"/>
      <c r="F3" s="239"/>
    </row>
    <row r="4" spans="1:6">
      <c r="A4" s="241"/>
      <c r="B4" s="713" t="s">
        <v>843</v>
      </c>
      <c r="C4" s="714"/>
      <c r="D4" s="714"/>
      <c r="E4" s="238"/>
      <c r="F4" s="239"/>
    </row>
    <row r="5" spans="1:6">
      <c r="A5" s="241"/>
      <c r="B5" s="712" t="s">
        <v>842</v>
      </c>
      <c r="C5" s="712"/>
      <c r="D5" s="712"/>
      <c r="E5" s="238"/>
      <c r="F5" s="239"/>
    </row>
    <row r="6" spans="1:6">
      <c r="A6" s="234"/>
      <c r="B6" s="240"/>
      <c r="C6" s="236"/>
      <c r="D6" s="237"/>
      <c r="E6" s="238"/>
      <c r="F6" s="239"/>
    </row>
    <row r="7" spans="1:6">
      <c r="A7" s="234"/>
      <c r="B7" s="240" t="s">
        <v>827</v>
      </c>
      <c r="C7" s="236"/>
      <c r="D7" s="237"/>
      <c r="E7" s="238"/>
      <c r="F7" s="239"/>
    </row>
    <row r="8" spans="1:6" ht="29.25" customHeight="1">
      <c r="A8" s="234"/>
      <c r="B8" s="713" t="s">
        <v>844</v>
      </c>
      <c r="C8" s="713"/>
      <c r="D8" s="713"/>
      <c r="E8" s="715"/>
      <c r="F8" s="239"/>
    </row>
    <row r="9" spans="1:6">
      <c r="A9" s="234"/>
      <c r="B9" s="240"/>
      <c r="C9" s="236"/>
      <c r="D9" s="237"/>
      <c r="E9" s="238"/>
      <c r="F9" s="239"/>
    </row>
    <row r="10" spans="1:6">
      <c r="A10" s="234"/>
      <c r="B10" s="240" t="s">
        <v>828</v>
      </c>
      <c r="C10" s="236"/>
      <c r="D10" s="237"/>
      <c r="E10" s="238"/>
      <c r="F10" s="239"/>
    </row>
    <row r="11" spans="1:6">
      <c r="A11" s="234"/>
      <c r="B11" s="712" t="s">
        <v>845</v>
      </c>
      <c r="C11" s="712"/>
      <c r="D11" s="712"/>
      <c r="E11" s="715"/>
      <c r="F11" s="239"/>
    </row>
    <row r="12" spans="1:6">
      <c r="A12" s="234"/>
      <c r="B12" s="240"/>
      <c r="C12" s="236"/>
      <c r="D12" s="237"/>
      <c r="E12" s="238"/>
      <c r="F12" s="239"/>
    </row>
    <row r="13" spans="1:6">
      <c r="A13" s="234"/>
      <c r="B13" s="240" t="s">
        <v>829</v>
      </c>
      <c r="C13" s="236"/>
      <c r="D13" s="237"/>
      <c r="E13" s="238"/>
      <c r="F13" s="239"/>
    </row>
    <row r="14" spans="1:6">
      <c r="A14" s="234"/>
      <c r="B14" s="716" t="s">
        <v>846</v>
      </c>
      <c r="C14" s="716"/>
      <c r="D14" s="716"/>
      <c r="E14" s="238"/>
      <c r="F14" s="239"/>
    </row>
    <row r="15" spans="1:6">
      <c r="A15" s="234"/>
      <c r="B15" s="243"/>
      <c r="C15" s="244"/>
      <c r="D15" s="237"/>
      <c r="E15" s="238"/>
      <c r="F15" s="239"/>
    </row>
    <row r="16" spans="1:6">
      <c r="A16" s="234"/>
      <c r="B16" s="243" t="s">
        <v>830</v>
      </c>
      <c r="C16" s="244"/>
      <c r="D16" s="237"/>
      <c r="E16" s="238"/>
      <c r="F16" s="239"/>
    </row>
    <row r="17" spans="1:6">
      <c r="A17" s="234"/>
      <c r="B17" s="243" t="s">
        <v>831</v>
      </c>
      <c r="C17" s="244"/>
      <c r="D17" s="237"/>
      <c r="E17" s="238"/>
      <c r="F17" s="239"/>
    </row>
    <row r="18" spans="1:6">
      <c r="A18" s="234"/>
      <c r="B18" s="243"/>
      <c r="C18" s="244"/>
      <c r="D18" s="237"/>
      <c r="E18" s="238"/>
      <c r="F18" s="239"/>
    </row>
    <row r="19" spans="1:6">
      <c r="A19" s="234"/>
      <c r="B19" s="243"/>
      <c r="C19" s="244"/>
      <c r="D19" s="237"/>
      <c r="E19" s="238"/>
      <c r="F19" s="239"/>
    </row>
    <row r="20" spans="1:6">
      <c r="A20" s="234"/>
      <c r="B20" s="240" t="s">
        <v>832</v>
      </c>
      <c r="C20" s="244"/>
      <c r="D20" s="237"/>
      <c r="E20" s="238"/>
      <c r="F20" s="239"/>
    </row>
    <row r="21" spans="1:6">
      <c r="A21" s="234"/>
      <c r="B21" s="243" t="s">
        <v>847</v>
      </c>
      <c r="C21" s="244"/>
      <c r="D21" s="237"/>
      <c r="E21" s="238"/>
      <c r="F21" s="239"/>
    </row>
    <row r="22" spans="1:6">
      <c r="A22" s="234"/>
      <c r="B22" s="243"/>
      <c r="C22" s="244"/>
      <c r="D22" s="237"/>
      <c r="E22" s="238"/>
      <c r="F22" s="239"/>
    </row>
    <row r="23" spans="1:6">
      <c r="A23" s="234"/>
      <c r="B23" s="243"/>
      <c r="C23" s="244"/>
      <c r="D23" s="237"/>
      <c r="E23" s="238"/>
      <c r="F23" s="239"/>
    </row>
    <row r="24" spans="1:6">
      <c r="A24" s="234"/>
      <c r="B24" s="240" t="s">
        <v>833</v>
      </c>
      <c r="C24" s="244"/>
      <c r="D24" s="237"/>
      <c r="E24" s="238"/>
      <c r="F24" s="239"/>
    </row>
    <row r="25" spans="1:6">
      <c r="A25" s="234"/>
      <c r="B25" s="240" t="s">
        <v>835</v>
      </c>
      <c r="C25" s="244"/>
      <c r="D25" s="237"/>
      <c r="E25" s="238"/>
      <c r="F25" s="239"/>
    </row>
    <row r="26" spans="1:6">
      <c r="A26" s="234"/>
      <c r="B26" s="243"/>
      <c r="C26" s="244"/>
      <c r="D26" s="237"/>
      <c r="E26" s="238"/>
      <c r="F26" s="239"/>
    </row>
    <row r="27" spans="1:6" s="65" customFormat="1">
      <c r="A27" s="234"/>
      <c r="B27" s="240" t="s">
        <v>834</v>
      </c>
      <c r="C27" s="244"/>
      <c r="D27" s="237"/>
      <c r="E27" s="238"/>
      <c r="F27" s="239"/>
    </row>
    <row r="28" spans="1:6" s="65" customFormat="1">
      <c r="A28" s="234"/>
      <c r="B28" s="240" t="s">
        <v>835</v>
      </c>
      <c r="C28" s="244"/>
      <c r="D28" s="237"/>
      <c r="E28" s="238"/>
      <c r="F28" s="239"/>
    </row>
    <row r="29" spans="1:6" s="65" customFormat="1">
      <c r="A29" s="234"/>
      <c r="B29" s="243" t="s">
        <v>836</v>
      </c>
      <c r="C29" s="244"/>
      <c r="D29" s="237"/>
      <c r="E29" s="238"/>
      <c r="F29" s="239"/>
    </row>
    <row r="30" spans="1:6">
      <c r="A30" s="234"/>
      <c r="B30" s="243" t="s">
        <v>848</v>
      </c>
      <c r="C30" s="244"/>
      <c r="D30" s="237"/>
      <c r="E30" s="238"/>
      <c r="F30" s="239"/>
    </row>
    <row r="31" spans="1:6">
      <c r="A31" s="234"/>
      <c r="B31" s="243" t="s">
        <v>849</v>
      </c>
      <c r="C31" s="244"/>
      <c r="D31" s="237"/>
      <c r="E31" s="238"/>
      <c r="F31" s="239"/>
    </row>
    <row r="32" spans="1:6" s="65" customFormat="1">
      <c r="A32" s="245"/>
      <c r="B32" s="243" t="s">
        <v>837</v>
      </c>
      <c r="C32" s="246"/>
      <c r="D32" s="247"/>
      <c r="E32" s="238"/>
      <c r="F32" s="248"/>
    </row>
    <row r="33" spans="1:6" s="65" customFormat="1">
      <c r="A33" s="245"/>
      <c r="B33" s="243"/>
      <c r="C33" s="246"/>
      <c r="D33" s="247"/>
      <c r="E33" s="238"/>
      <c r="F33" s="248"/>
    </row>
    <row r="34" spans="1:6" s="65" customFormat="1">
      <c r="A34" s="245"/>
      <c r="B34" s="243"/>
      <c r="C34" s="246"/>
      <c r="D34" s="247"/>
      <c r="E34" s="238"/>
      <c r="F34" s="248"/>
    </row>
    <row r="35" spans="1:6" s="65" customFormat="1">
      <c r="A35" s="245"/>
      <c r="B35" s="243"/>
      <c r="C35" s="246"/>
      <c r="D35" s="247"/>
      <c r="E35" s="238"/>
      <c r="F35" s="248"/>
    </row>
    <row r="36" spans="1:6" s="65" customFormat="1">
      <c r="A36" s="249"/>
      <c r="B36" s="717"/>
      <c r="C36" s="717"/>
      <c r="D36" s="717"/>
      <c r="E36" s="717"/>
      <c r="F36" s="250"/>
    </row>
    <row r="37" spans="1:6" s="65" customFormat="1">
      <c r="A37" s="249"/>
      <c r="B37" s="712"/>
      <c r="C37" s="712"/>
      <c r="D37" s="712"/>
      <c r="E37" s="251"/>
      <c r="F37" s="250"/>
    </row>
    <row r="38" spans="1:6" s="65" customFormat="1">
      <c r="A38" s="252"/>
      <c r="B38" s="712" t="s">
        <v>838</v>
      </c>
      <c r="C38" s="712"/>
      <c r="D38" s="712"/>
      <c r="E38" s="251"/>
      <c r="F38" s="250"/>
    </row>
    <row r="39" spans="1:6" s="65" customFormat="1">
      <c r="A39" s="252"/>
      <c r="B39" s="243" t="s">
        <v>839</v>
      </c>
      <c r="C39" s="241"/>
      <c r="D39" s="253"/>
      <c r="E39" s="251"/>
      <c r="F39" s="250"/>
    </row>
    <row r="40" spans="1:6">
      <c r="A40" s="252"/>
      <c r="B40" s="243" t="s">
        <v>840</v>
      </c>
      <c r="C40" s="254"/>
      <c r="D40" s="253"/>
      <c r="E40" s="251"/>
      <c r="F40" s="250"/>
    </row>
    <row r="41" spans="1:6">
      <c r="A41" s="234"/>
      <c r="B41" s="243" t="s">
        <v>850</v>
      </c>
      <c r="C41" s="244"/>
      <c r="D41" s="237"/>
      <c r="E41" s="238"/>
      <c r="F41" s="239"/>
    </row>
    <row r="42" spans="1:6" s="65" customFormat="1">
      <c r="A42" s="234"/>
      <c r="B42" s="243" t="s">
        <v>851</v>
      </c>
      <c r="C42" s="244"/>
      <c r="D42" s="237"/>
      <c r="E42" s="238"/>
      <c r="F42" s="239"/>
    </row>
    <row r="43" spans="1:6" s="65" customFormat="1">
      <c r="A43" s="234"/>
      <c r="B43" s="243"/>
      <c r="C43" s="244"/>
      <c r="D43" s="237"/>
      <c r="E43" s="238"/>
      <c r="F43" s="239"/>
    </row>
    <row r="44" spans="1:6" s="65" customFormat="1">
      <c r="A44" s="234"/>
      <c r="B44" s="240" t="s">
        <v>841</v>
      </c>
      <c r="C44" s="244"/>
      <c r="D44" s="237"/>
      <c r="E44" s="238"/>
      <c r="F44" s="239"/>
    </row>
    <row r="45" spans="1:6" s="65" customFormat="1">
      <c r="A45" s="234"/>
      <c r="B45" s="243" t="s">
        <v>852</v>
      </c>
      <c r="C45" s="244"/>
      <c r="D45" s="237"/>
      <c r="E45" s="238"/>
      <c r="F45" s="239"/>
    </row>
    <row r="46" spans="1:6" s="65" customFormat="1">
      <c r="A46" s="245"/>
      <c r="B46" s="242"/>
      <c r="C46" s="246"/>
      <c r="D46" s="247"/>
      <c r="E46" s="238"/>
      <c r="F46" s="248"/>
    </row>
    <row r="47" spans="1:6" s="227" customFormat="1">
      <c r="A47" s="44"/>
      <c r="B47" s="63"/>
      <c r="C47" s="15"/>
      <c r="D47" s="14"/>
      <c r="E47" s="14"/>
      <c r="F47" s="14"/>
    </row>
    <row r="48" spans="1:6" s="227" customFormat="1">
      <c r="B48" s="21"/>
      <c r="C48" s="228"/>
      <c r="D48" s="229"/>
      <c r="E48" s="230"/>
      <c r="F48" s="229"/>
    </row>
    <row r="49" spans="1:6" s="65" customFormat="1">
      <c r="A49" s="43"/>
      <c r="B49" s="47"/>
      <c r="C49" s="15"/>
      <c r="D49" s="14"/>
      <c r="E49" s="14"/>
      <c r="F49" s="14"/>
    </row>
    <row r="50" spans="1:6" s="65" customFormat="1">
      <c r="A50" s="43"/>
      <c r="B50" s="21"/>
      <c r="C50" s="15"/>
      <c r="D50" s="14"/>
      <c r="E50" s="14"/>
      <c r="F50" s="14"/>
    </row>
    <row r="51" spans="1:6" s="65" customFormat="1">
      <c r="A51" s="43"/>
      <c r="B51" s="47"/>
      <c r="C51" s="15"/>
      <c r="D51" s="14"/>
      <c r="E51" s="14"/>
      <c r="F51" s="14"/>
    </row>
    <row r="52" spans="1:6" s="65" customFormat="1">
      <c r="A52" s="44"/>
      <c r="B52" s="48"/>
      <c r="C52" s="15"/>
      <c r="D52" s="14"/>
      <c r="E52" s="14"/>
      <c r="F52" s="14"/>
    </row>
    <row r="53" spans="1:6" s="65" customFormat="1">
      <c r="A53" s="46"/>
      <c r="B53" s="47"/>
      <c r="C53" s="15"/>
      <c r="D53" s="14"/>
      <c r="E53" s="14"/>
      <c r="F53" s="14"/>
    </row>
    <row r="54" spans="1:6" s="65" customFormat="1">
      <c r="A54" s="46"/>
      <c r="B54" s="47"/>
      <c r="C54" s="15"/>
      <c r="D54" s="14"/>
      <c r="E54" s="14"/>
      <c r="F54" s="14"/>
    </row>
    <row r="55" spans="1:6" s="65" customFormat="1">
      <c r="A55" s="46"/>
      <c r="B55" s="47"/>
      <c r="C55" s="15"/>
      <c r="D55" s="14"/>
      <c r="E55" s="14"/>
      <c r="F55" s="14"/>
    </row>
    <row r="56" spans="1:6" s="65" customFormat="1">
      <c r="A56" s="46"/>
      <c r="B56" s="49"/>
      <c r="C56" s="19"/>
      <c r="D56" s="20"/>
      <c r="E56" s="20"/>
      <c r="F56" s="20"/>
    </row>
    <row r="57" spans="1:6" s="65" customFormat="1">
      <c r="A57" s="44"/>
      <c r="B57" s="47"/>
      <c r="C57" s="19"/>
      <c r="D57" s="20"/>
      <c r="E57" s="20"/>
      <c r="F57" s="20"/>
    </row>
    <row r="58" spans="1:6" s="65" customFormat="1">
      <c r="A58" s="46"/>
      <c r="B58" s="47"/>
      <c r="C58" s="19"/>
      <c r="D58" s="20"/>
      <c r="E58" s="20"/>
      <c r="F58" s="20"/>
    </row>
    <row r="59" spans="1:6" s="65" customFormat="1">
      <c r="A59" s="46"/>
      <c r="B59" s="47"/>
      <c r="C59" s="15"/>
      <c r="D59" s="14"/>
      <c r="E59" s="14"/>
      <c r="F59" s="14"/>
    </row>
    <row r="60" spans="1:6" s="65" customFormat="1">
      <c r="A60" s="46"/>
      <c r="B60" s="49"/>
      <c r="C60" s="19"/>
      <c r="D60" s="20"/>
      <c r="E60" s="20"/>
      <c r="F60" s="20"/>
    </row>
    <row r="61" spans="1:6" s="65" customFormat="1">
      <c r="A61" s="44"/>
      <c r="B61" s="47"/>
      <c r="C61" s="19"/>
      <c r="D61" s="20"/>
      <c r="E61" s="20"/>
      <c r="F61" s="20"/>
    </row>
    <row r="62" spans="1:6" s="65" customFormat="1">
      <c r="A62" s="46"/>
      <c r="B62" s="47"/>
      <c r="C62" s="15"/>
      <c r="D62" s="14"/>
      <c r="E62" s="14"/>
      <c r="F62" s="14"/>
    </row>
    <row r="63" spans="1:6" s="65" customFormat="1">
      <c r="A63" s="46"/>
      <c r="B63" s="49"/>
      <c r="C63" s="19"/>
      <c r="D63" s="20"/>
      <c r="E63" s="20"/>
      <c r="F63" s="20"/>
    </row>
    <row r="64" spans="1:6" s="65" customFormat="1">
      <c r="A64" s="44"/>
      <c r="B64" s="47"/>
      <c r="C64" s="19"/>
      <c r="D64" s="20"/>
      <c r="E64" s="20"/>
      <c r="F64" s="20"/>
    </row>
    <row r="65" spans="1:6" s="65" customFormat="1">
      <c r="A65" s="46"/>
      <c r="B65" s="47"/>
      <c r="C65" s="15"/>
      <c r="D65" s="14"/>
      <c r="E65" s="14"/>
      <c r="F65" s="14"/>
    </row>
    <row r="66" spans="1:6" s="65" customFormat="1">
      <c r="A66" s="46"/>
      <c r="B66" s="47"/>
      <c r="C66" s="15"/>
      <c r="D66" s="14"/>
      <c r="E66" s="14"/>
      <c r="F66" s="14"/>
    </row>
    <row r="67" spans="1:6" s="65" customFormat="1">
      <c r="A67" s="44"/>
      <c r="B67" s="47"/>
      <c r="C67" s="19"/>
      <c r="D67" s="20"/>
      <c r="E67" s="20"/>
      <c r="F67" s="20"/>
    </row>
    <row r="68" spans="1:6" s="65" customFormat="1">
      <c r="A68" s="46"/>
      <c r="B68" s="47"/>
      <c r="C68" s="19"/>
      <c r="D68" s="20"/>
      <c r="E68" s="20"/>
      <c r="F68" s="20"/>
    </row>
    <row r="69" spans="1:6" s="65" customFormat="1">
      <c r="A69" s="46"/>
      <c r="B69" s="47"/>
      <c r="C69" s="19"/>
      <c r="D69" s="20"/>
      <c r="E69" s="20"/>
      <c r="F69" s="20"/>
    </row>
    <row r="70" spans="1:6" s="65" customFormat="1">
      <c r="A70" s="46"/>
      <c r="B70" s="47"/>
      <c r="C70" s="15"/>
      <c r="D70" s="14"/>
      <c r="E70" s="14"/>
      <c r="F70" s="14"/>
    </row>
    <row r="71" spans="1:6" s="65" customFormat="1">
      <c r="A71" s="46"/>
      <c r="B71" s="47"/>
      <c r="C71" s="15"/>
      <c r="D71" s="14"/>
      <c r="E71" s="14"/>
      <c r="F71" s="14"/>
    </row>
    <row r="72" spans="1:6" s="65" customFormat="1">
      <c r="A72" s="46"/>
      <c r="B72" s="47"/>
      <c r="C72" s="15"/>
      <c r="D72" s="14"/>
      <c r="E72" s="14"/>
      <c r="F72" s="14"/>
    </row>
    <row r="73" spans="1:6" s="65" customFormat="1">
      <c r="A73" s="46"/>
      <c r="B73" s="47"/>
      <c r="C73" s="15"/>
      <c r="D73" s="14"/>
      <c r="E73" s="14"/>
      <c r="F73" s="14"/>
    </row>
    <row r="74" spans="1:6" s="65" customFormat="1">
      <c r="A74" s="44"/>
      <c r="B74" s="47"/>
      <c r="C74" s="19"/>
      <c r="D74" s="20"/>
      <c r="E74" s="20"/>
      <c r="F74" s="20"/>
    </row>
    <row r="75" spans="1:6" s="65" customFormat="1">
      <c r="A75" s="46"/>
      <c r="B75" s="47"/>
      <c r="C75" s="19"/>
      <c r="D75" s="20"/>
      <c r="E75" s="20"/>
      <c r="F75" s="20"/>
    </row>
    <row r="76" spans="1:6" s="65" customFormat="1">
      <c r="A76" s="46"/>
      <c r="B76" s="47"/>
      <c r="C76" s="19"/>
      <c r="D76" s="20"/>
      <c r="E76" s="20"/>
      <c r="F76" s="20"/>
    </row>
    <row r="77" spans="1:6" s="65" customFormat="1">
      <c r="A77" s="46"/>
      <c r="B77" s="47"/>
      <c r="C77" s="15"/>
      <c r="D77" s="14"/>
      <c r="E77" s="14"/>
      <c r="F77" s="14"/>
    </row>
    <row r="78" spans="1:6" s="65" customFormat="1">
      <c r="A78" s="46"/>
      <c r="B78" s="47"/>
      <c r="C78" s="15"/>
      <c r="D78" s="14"/>
      <c r="E78" s="14"/>
      <c r="F78" s="14"/>
    </row>
    <row r="79" spans="1:6" s="65" customFormat="1">
      <c r="A79" s="46"/>
      <c r="B79" s="47"/>
      <c r="C79" s="15"/>
      <c r="D79" s="14"/>
      <c r="E79" s="14"/>
      <c r="F79" s="14"/>
    </row>
    <row r="80" spans="1:6">
      <c r="A80" s="44"/>
      <c r="B80" s="13"/>
      <c r="E80" s="10"/>
      <c r="F80" s="11"/>
    </row>
    <row r="81" spans="1:6">
      <c r="A81" s="44"/>
      <c r="B81" s="13"/>
      <c r="E81" s="10"/>
      <c r="F81" s="11"/>
    </row>
    <row r="82" spans="1:6">
      <c r="A82" s="44"/>
      <c r="B82" s="13"/>
      <c r="E82" s="10"/>
      <c r="F82" s="11"/>
    </row>
    <row r="83" spans="1:6">
      <c r="A83" s="43"/>
      <c r="B83" s="16"/>
      <c r="E83" s="10"/>
      <c r="F83" s="11"/>
    </row>
    <row r="84" spans="1:6">
      <c r="A84" s="44"/>
      <c r="B84" s="13"/>
      <c r="E84" s="10"/>
      <c r="F84" s="11"/>
    </row>
    <row r="85" spans="1:6">
      <c r="A85" s="44"/>
      <c r="B85" s="13"/>
      <c r="E85" s="10"/>
      <c r="F85" s="11"/>
    </row>
    <row r="86" spans="1:6">
      <c r="A86" s="44"/>
      <c r="B86" s="13"/>
      <c r="E86" s="10"/>
      <c r="F86" s="11"/>
    </row>
    <row r="87" spans="1:6">
      <c r="A87" s="44"/>
      <c r="B87" s="13"/>
      <c r="E87" s="10"/>
      <c r="F87" s="11"/>
    </row>
    <row r="88" spans="1:6">
      <c r="A88" s="44"/>
      <c r="B88" s="13"/>
      <c r="E88" s="10"/>
      <c r="F88" s="11"/>
    </row>
    <row r="89" spans="1:6">
      <c r="A89" s="44"/>
      <c r="B89" s="13"/>
      <c r="E89" s="10"/>
      <c r="F89" s="11"/>
    </row>
    <row r="90" spans="1:6">
      <c r="A90" s="44"/>
      <c r="B90" s="13"/>
      <c r="E90" s="10"/>
      <c r="F90" s="11"/>
    </row>
    <row r="91" spans="1:6">
      <c r="A91" s="44"/>
      <c r="B91" s="13"/>
      <c r="E91" s="10"/>
      <c r="F91" s="11"/>
    </row>
    <row r="92" spans="1:6">
      <c r="A92" s="44"/>
      <c r="B92" s="13"/>
      <c r="E92" s="10"/>
      <c r="F92" s="11"/>
    </row>
    <row r="93" spans="1:6">
      <c r="A93" s="44"/>
      <c r="B93" s="13"/>
      <c r="E93" s="10"/>
      <c r="F93" s="11"/>
    </row>
    <row r="94" spans="1:6">
      <c r="A94" s="44"/>
      <c r="B94" s="13"/>
      <c r="E94" s="10"/>
      <c r="F94" s="11"/>
    </row>
    <row r="95" spans="1:6">
      <c r="A95" s="44"/>
      <c r="B95" s="13"/>
      <c r="E95" s="10"/>
      <c r="F95" s="11"/>
    </row>
    <row r="96" spans="1:6">
      <c r="A96" s="44"/>
      <c r="B96" s="13"/>
      <c r="E96" s="10"/>
      <c r="F96" s="11"/>
    </row>
    <row r="97" spans="1:6">
      <c r="A97" s="44"/>
      <c r="B97" s="13"/>
      <c r="E97" s="10"/>
      <c r="F97" s="11"/>
    </row>
    <row r="98" spans="1:6">
      <c r="A98" s="44"/>
      <c r="B98" s="16"/>
      <c r="E98" s="10"/>
      <c r="F98" s="11"/>
    </row>
    <row r="99" spans="1:6" ht="110.25" customHeight="1">
      <c r="A99" s="44"/>
      <c r="B99" s="13"/>
      <c r="E99" s="10"/>
      <c r="F99" s="11"/>
    </row>
    <row r="100" spans="1:6">
      <c r="A100" s="44"/>
      <c r="B100" s="13"/>
      <c r="E100" s="10"/>
      <c r="F100" s="11"/>
    </row>
    <row r="101" spans="1:6">
      <c r="A101" s="44"/>
      <c r="B101" s="13"/>
      <c r="E101" s="10"/>
      <c r="F101" s="11"/>
    </row>
    <row r="102" spans="1:6">
      <c r="A102" s="44"/>
      <c r="B102" s="13"/>
      <c r="E102" s="10"/>
      <c r="F102" s="11"/>
    </row>
    <row r="103" spans="1:6">
      <c r="A103" s="44"/>
      <c r="B103" s="13"/>
      <c r="E103" s="10"/>
      <c r="F103" s="11"/>
    </row>
    <row r="104" spans="1:6">
      <c r="A104" s="44"/>
      <c r="B104" s="13"/>
      <c r="E104" s="10"/>
      <c r="F104" s="11"/>
    </row>
    <row r="105" spans="1:6">
      <c r="A105" s="44"/>
      <c r="B105" s="13"/>
      <c r="E105" s="10"/>
      <c r="F105" s="11"/>
    </row>
    <row r="106" spans="1:6">
      <c r="A106" s="44"/>
      <c r="B106" s="13"/>
      <c r="E106" s="10"/>
      <c r="F106" s="11"/>
    </row>
    <row r="107" spans="1:6" ht="79.5" customHeight="1">
      <c r="A107" s="44"/>
      <c r="B107" s="13"/>
      <c r="E107" s="10"/>
      <c r="F107" s="11"/>
    </row>
    <row r="108" spans="1:6" ht="31.5" customHeight="1">
      <c r="E108" s="10"/>
      <c r="F108" s="11"/>
    </row>
    <row r="109" spans="1:6">
      <c r="E109" s="10"/>
      <c r="F109" s="11"/>
    </row>
    <row r="110" spans="1:6">
      <c r="E110" s="10"/>
      <c r="F110" s="11"/>
    </row>
    <row r="111" spans="1:6">
      <c r="E111" s="10"/>
      <c r="F111" s="11"/>
    </row>
    <row r="112" spans="1:6">
      <c r="E112" s="10"/>
      <c r="F112" s="11"/>
    </row>
    <row r="113" spans="2:6">
      <c r="E113" s="10"/>
      <c r="F113" s="11"/>
    </row>
    <row r="114" spans="2:6">
      <c r="E114" s="10"/>
      <c r="F114" s="11"/>
    </row>
    <row r="115" spans="2:6">
      <c r="E115" s="10"/>
      <c r="F115" s="11"/>
    </row>
    <row r="116" spans="2:6">
      <c r="B116" s="13"/>
      <c r="E116" s="10"/>
      <c r="F116" s="11"/>
    </row>
    <row r="117" spans="2:6">
      <c r="B117" s="13"/>
      <c r="E117" s="10"/>
      <c r="F117" s="11"/>
    </row>
    <row r="118" spans="2:6">
      <c r="B118" s="13"/>
      <c r="E118" s="10"/>
      <c r="F118" s="11"/>
    </row>
    <row r="119" spans="2:6">
      <c r="E119" s="10"/>
      <c r="F119" s="11"/>
    </row>
    <row r="120" spans="2:6">
      <c r="E120" s="10"/>
      <c r="F120" s="11"/>
    </row>
    <row r="121" spans="2:6">
      <c r="E121" s="10"/>
      <c r="F121" s="11"/>
    </row>
    <row r="122" spans="2:6">
      <c r="E122" s="10"/>
      <c r="F122" s="11"/>
    </row>
    <row r="123" spans="2:6">
      <c r="E123" s="10"/>
      <c r="F123" s="11"/>
    </row>
    <row r="124" spans="2:6">
      <c r="E124" s="10"/>
      <c r="F124" s="11"/>
    </row>
    <row r="125" spans="2:6">
      <c r="E125" s="10"/>
      <c r="F125" s="11"/>
    </row>
    <row r="126" spans="2:6">
      <c r="E126" s="10"/>
      <c r="F126" s="11"/>
    </row>
    <row r="127" spans="2:6">
      <c r="E127" s="10"/>
      <c r="F127" s="11"/>
    </row>
    <row r="128" spans="2:6">
      <c r="E128" s="10"/>
      <c r="F128" s="11"/>
    </row>
    <row r="129" spans="2:6">
      <c r="E129" s="10"/>
      <c r="F129" s="11"/>
    </row>
    <row r="130" spans="2:6">
      <c r="B130" s="13"/>
      <c r="E130" s="10"/>
      <c r="F130" s="11"/>
    </row>
    <row r="131" spans="2:6" ht="81" customHeight="1">
      <c r="E131" s="10"/>
      <c r="F131" s="11"/>
    </row>
    <row r="132" spans="2:6">
      <c r="E132" s="10"/>
      <c r="F132" s="11"/>
    </row>
    <row r="133" spans="2:6">
      <c r="E133" s="10"/>
      <c r="F133" s="11"/>
    </row>
    <row r="134" spans="2:6">
      <c r="E134" s="10"/>
      <c r="F134" s="11"/>
    </row>
    <row r="135" spans="2:6" ht="65.25" customHeight="1">
      <c r="E135" s="10"/>
      <c r="F135" s="11"/>
    </row>
    <row r="136" spans="2:6">
      <c r="B136" s="5"/>
      <c r="E136" s="10"/>
      <c r="F136" s="11"/>
    </row>
    <row r="137" spans="2:6" ht="34.5" customHeight="1">
      <c r="E137" s="10"/>
      <c r="F137" s="11"/>
    </row>
    <row r="138" spans="2:6">
      <c r="E138" s="10"/>
      <c r="F138" s="11"/>
    </row>
    <row r="139" spans="2:6" ht="50.25" customHeight="1">
      <c r="E139" s="10"/>
      <c r="F139" s="11"/>
    </row>
    <row r="140" spans="2:6" ht="50.25" customHeight="1">
      <c r="E140" s="10"/>
      <c r="F140" s="11"/>
    </row>
    <row r="141" spans="2:6">
      <c r="E141" s="10"/>
      <c r="F141" s="11"/>
    </row>
    <row r="142" spans="2:6">
      <c r="E142" s="10"/>
      <c r="F142" s="11"/>
    </row>
    <row r="143" spans="2:6">
      <c r="E143" s="10"/>
      <c r="F143" s="11"/>
    </row>
    <row r="144" spans="2:6">
      <c r="E144" s="10"/>
      <c r="F144" s="11"/>
    </row>
    <row r="145" spans="2:6">
      <c r="E145" s="10"/>
      <c r="F145" s="11"/>
    </row>
    <row r="146" spans="2:6">
      <c r="E146" s="10"/>
      <c r="F146" s="11"/>
    </row>
    <row r="147" spans="2:6" ht="65.25" customHeight="1">
      <c r="E147" s="10"/>
      <c r="F147" s="11"/>
    </row>
    <row r="148" spans="2:6">
      <c r="B148" s="5"/>
      <c r="E148" s="10"/>
      <c r="F148" s="11"/>
    </row>
    <row r="149" spans="2:6" ht="34.5" customHeight="1">
      <c r="E149" s="10"/>
      <c r="F149" s="11"/>
    </row>
    <row r="150" spans="2:6">
      <c r="E150" s="10"/>
      <c r="F150" s="11"/>
    </row>
    <row r="151" spans="2:6" ht="50.25" customHeight="1">
      <c r="E151" s="10"/>
      <c r="F151" s="11"/>
    </row>
    <row r="152" spans="2:6" ht="50.25" customHeight="1">
      <c r="E152" s="10"/>
      <c r="F152" s="11"/>
    </row>
    <row r="153" spans="2:6">
      <c r="E153" s="10"/>
      <c r="F153" s="11"/>
    </row>
    <row r="154" spans="2:6">
      <c r="E154" s="10"/>
      <c r="F154" s="11"/>
    </row>
    <row r="155" spans="2:6">
      <c r="E155" s="10"/>
      <c r="F155" s="11"/>
    </row>
    <row r="156" spans="2:6">
      <c r="E156" s="10"/>
      <c r="F156" s="11"/>
    </row>
    <row r="157" spans="2:6">
      <c r="E157" s="10"/>
      <c r="F157" s="11"/>
    </row>
    <row r="158" spans="2:6">
      <c r="E158" s="10"/>
      <c r="F158" s="11"/>
    </row>
    <row r="159" spans="2:6" ht="36.75" customHeight="1">
      <c r="E159" s="10"/>
      <c r="F159" s="11"/>
    </row>
    <row r="160" spans="2:6">
      <c r="E160" s="10"/>
      <c r="F160" s="11"/>
    </row>
    <row r="161" spans="2:6">
      <c r="E161" s="10"/>
      <c r="F161" s="11"/>
    </row>
    <row r="162" spans="2:6">
      <c r="E162" s="10"/>
      <c r="F162" s="11"/>
    </row>
    <row r="163" spans="2:6">
      <c r="E163" s="10"/>
      <c r="F163" s="11"/>
    </row>
    <row r="164" spans="2:6">
      <c r="E164" s="10"/>
      <c r="F164" s="11"/>
    </row>
    <row r="165" spans="2:6">
      <c r="E165" s="10"/>
      <c r="F165" s="11"/>
    </row>
    <row r="166" spans="2:6" ht="48" customHeight="1">
      <c r="E166" s="10"/>
      <c r="F166" s="11"/>
    </row>
    <row r="167" spans="2:6">
      <c r="E167" s="10"/>
      <c r="F167" s="11"/>
    </row>
    <row r="168" spans="2:6" ht="48.75" customHeight="1">
      <c r="E168" s="10"/>
      <c r="F168" s="11"/>
    </row>
    <row r="169" spans="2:6">
      <c r="B169" s="5"/>
      <c r="E169" s="10"/>
      <c r="F169" s="11"/>
    </row>
    <row r="170" spans="2:6" ht="83.25" customHeight="1">
      <c r="E170" s="10"/>
      <c r="F170" s="11"/>
    </row>
    <row r="171" spans="2:6">
      <c r="E171" s="10"/>
      <c r="F171" s="11"/>
    </row>
    <row r="172" spans="2:6">
      <c r="E172" s="10"/>
      <c r="F172" s="11"/>
    </row>
    <row r="173" spans="2:6">
      <c r="E173" s="10"/>
      <c r="F173" s="11"/>
    </row>
    <row r="174" spans="2:6">
      <c r="E174" s="10"/>
      <c r="F174" s="11"/>
    </row>
    <row r="175" spans="2:6">
      <c r="E175" s="10"/>
      <c r="F175" s="11"/>
    </row>
    <row r="176" spans="2:6">
      <c r="E176" s="10"/>
      <c r="F176" s="11"/>
    </row>
    <row r="177" spans="1:6" ht="80.25" customHeight="1">
      <c r="E177" s="10"/>
      <c r="F177" s="11"/>
    </row>
    <row r="178" spans="1:6">
      <c r="E178" s="10"/>
      <c r="F178" s="11"/>
    </row>
    <row r="179" spans="1:6" ht="48.75" customHeight="1">
      <c r="E179" s="10"/>
      <c r="F179" s="11"/>
    </row>
    <row r="180" spans="1:6">
      <c r="E180" s="10"/>
      <c r="F180" s="11"/>
    </row>
    <row r="181" spans="1:6">
      <c r="B181" s="13"/>
      <c r="E181" s="10"/>
      <c r="F181" s="11"/>
    </row>
    <row r="182" spans="1:6">
      <c r="B182" s="13"/>
      <c r="E182" s="10"/>
      <c r="F182" s="11"/>
    </row>
    <row r="183" spans="1:6">
      <c r="B183" s="13"/>
      <c r="E183" s="10"/>
      <c r="F183" s="11"/>
    </row>
    <row r="184" spans="1:6">
      <c r="B184" s="13"/>
      <c r="E184" s="10"/>
      <c r="F184" s="11"/>
    </row>
    <row r="185" spans="1:6">
      <c r="B185" s="13"/>
      <c r="E185" s="10"/>
      <c r="F185" s="11"/>
    </row>
    <row r="186" spans="1:6">
      <c r="B186" s="13"/>
      <c r="E186" s="10"/>
      <c r="F186" s="11"/>
    </row>
    <row r="187" spans="1:6">
      <c r="B187" s="13"/>
      <c r="E187" s="10"/>
      <c r="F187" s="11"/>
    </row>
    <row r="188" spans="1:6">
      <c r="B188" s="13"/>
      <c r="E188" s="10"/>
      <c r="F188" s="11"/>
    </row>
    <row r="189" spans="1:6">
      <c r="A189" s="9" t="s">
        <v>36</v>
      </c>
      <c r="B189" s="6" t="s">
        <v>50</v>
      </c>
      <c r="E189" s="10"/>
      <c r="F189" s="11" t="e">
        <f>SUM(#REF!)</f>
        <v>#REF!</v>
      </c>
    </row>
    <row r="190" spans="1:6">
      <c r="E190" s="10"/>
      <c r="F190" s="11"/>
    </row>
    <row r="191" spans="1:6">
      <c r="A191" s="12"/>
      <c r="B191" s="12"/>
      <c r="E191" s="10"/>
      <c r="F191" s="11"/>
    </row>
  </sheetData>
  <mergeCells count="8">
    <mergeCell ref="B37:D37"/>
    <mergeCell ref="B38:D38"/>
    <mergeCell ref="B4:D4"/>
    <mergeCell ref="B5:D5"/>
    <mergeCell ref="B8:E8"/>
    <mergeCell ref="B11:E11"/>
    <mergeCell ref="B14:D14"/>
    <mergeCell ref="B36:E36"/>
  </mergeCells>
  <pageMargins left="0.70866141732283472" right="0.70866141732283472" top="0.88124999999999998" bottom="0.74803149606299213" header="0.31496062992125984" footer="0.31496062992125984"/>
  <pageSetup paperSize="9" scale="90" orientation="portrait" r:id="rId1"/>
  <headerFooter>
    <oddHeader xml:space="preserve">&amp;L&amp;7ZAGREBAČKI HOLDING d.o.o., 
Ulica grada Vukovara 41, Zagreb
OIB 85584865987&amp;C&amp;7CJELOVITA OBNOVA ZGRADE JAVNE NAMJENE - 
''ŠKOLE'' HOSTELA GRAD MLADIH, GRANEŠINA
Aleja hrvatske mladeži 29, Zagreb
k.č. 7098, k.o. Granešina Nova&amp;R&amp;7ZOP: 12/24      
</oddHeader>
  </headerFooter>
  <ignoredErrors>
    <ignoredError sqref="B14" twoDigitTextYear="1"/>
  </ignoredErrors>
</worksheet>
</file>

<file path=xl/worksheets/sheet10.xml><?xml version="1.0" encoding="utf-8"?>
<worksheet xmlns="http://schemas.openxmlformats.org/spreadsheetml/2006/main" xmlns:r="http://schemas.openxmlformats.org/officeDocument/2006/relationships">
  <sheetPr>
    <tabColor rgb="FFFFC000"/>
  </sheetPr>
  <dimension ref="A1:I147"/>
  <sheetViews>
    <sheetView showZeros="0" view="pageBreakPreview" zoomScale="110" zoomScaleNormal="85" zoomScaleSheetLayoutView="110" workbookViewId="0">
      <selection activeCell="E2" sqref="E2:F146"/>
    </sheetView>
  </sheetViews>
  <sheetFormatPr defaultColWidth="8.85546875" defaultRowHeight="15"/>
  <cols>
    <col min="1" max="1" width="8.7109375" style="17" customWidth="1"/>
    <col min="2" max="2" width="44.85546875" style="1" customWidth="1"/>
    <col min="3" max="3" width="8.5703125" style="29" customWidth="1"/>
    <col min="4" max="4" width="10.5703125" style="40" customWidth="1"/>
    <col min="5" max="5" width="13.7109375" style="163" customWidth="1"/>
    <col min="6" max="6" width="16.5703125" style="163" customWidth="1"/>
    <col min="7" max="7" width="11.85546875" style="55" customWidth="1"/>
    <col min="8" max="10" width="8.85546875" style="2"/>
    <col min="11" max="11" width="61.140625" style="2" bestFit="1" customWidth="1"/>
    <col min="12" max="16384" width="8.85546875" style="2"/>
  </cols>
  <sheetData>
    <row r="1" spans="1:6">
      <c r="A1" s="118" t="s">
        <v>260</v>
      </c>
      <c r="B1" s="107" t="s">
        <v>261</v>
      </c>
      <c r="C1" s="64" t="s">
        <v>262</v>
      </c>
      <c r="D1" s="114" t="s">
        <v>263</v>
      </c>
      <c r="E1" s="158" t="s">
        <v>264</v>
      </c>
      <c r="F1" s="159" t="s">
        <v>265</v>
      </c>
    </row>
    <row r="3" spans="1:6">
      <c r="A3" s="17" t="s">
        <v>142</v>
      </c>
      <c r="B3" s="25" t="s">
        <v>37</v>
      </c>
      <c r="E3" s="162"/>
    </row>
    <row r="4" spans="1:6">
      <c r="E4" s="162"/>
    </row>
    <row r="5" spans="1:6">
      <c r="E5" s="162"/>
    </row>
    <row r="6" spans="1:6">
      <c r="B6" s="1" t="s">
        <v>496</v>
      </c>
      <c r="E6" s="162"/>
    </row>
    <row r="7" spans="1:6" ht="75">
      <c r="B7" s="1" t="s">
        <v>497</v>
      </c>
      <c r="E7" s="162"/>
    </row>
    <row r="8" spans="1:6" ht="60">
      <c r="B8" s="1" t="s">
        <v>59</v>
      </c>
      <c r="E8" s="162"/>
    </row>
    <row r="9" spans="1:6" ht="90">
      <c r="B9" s="1" t="s">
        <v>47</v>
      </c>
      <c r="E9" s="162"/>
    </row>
    <row r="10" spans="1:6" ht="80.25" customHeight="1">
      <c r="B10" s="1" t="s">
        <v>104</v>
      </c>
      <c r="E10" s="162"/>
    </row>
    <row r="11" spans="1:6" ht="60">
      <c r="B11" s="1" t="s">
        <v>1628</v>
      </c>
      <c r="E11" s="162"/>
    </row>
    <row r="12" spans="1:6">
      <c r="E12" s="162"/>
    </row>
    <row r="13" spans="1:6" ht="75">
      <c r="A13" s="17">
        <f>COUNT($A$5:A12)+1</f>
        <v>1</v>
      </c>
      <c r="B13" s="1" t="s">
        <v>1274</v>
      </c>
      <c r="E13" s="162"/>
    </row>
    <row r="14" spans="1:6" ht="90">
      <c r="B14" s="1" t="s">
        <v>431</v>
      </c>
      <c r="E14" s="162"/>
    </row>
    <row r="15" spans="1:6">
      <c r="B15" s="1" t="s">
        <v>241</v>
      </c>
      <c r="C15" s="29" t="s">
        <v>11</v>
      </c>
      <c r="D15" s="40">
        <f>(1.1*4.4*8+1.15*4.35*4+1.15*2.56+2.09*5.21+1.18*2.14*3+0.92*4.25+1.1*3.14*12+1.34*3.2+1.58*0.42+2*1.59+4.3*10.15*3+0.94*3.21*3)*0.25*1.05</f>
        <v>71.824016250000014</v>
      </c>
      <c r="E15" s="167"/>
      <c r="F15" s="199"/>
    </row>
    <row r="16" spans="1:6">
      <c r="E16" s="162"/>
      <c r="F16" s="199"/>
    </row>
    <row r="17" spans="1:7" ht="30">
      <c r="A17" s="17">
        <f>COUNT($A$5:A16)+1</f>
        <v>2</v>
      </c>
      <c r="B17" s="1" t="s">
        <v>1275</v>
      </c>
      <c r="E17" s="162"/>
      <c r="F17" s="199"/>
    </row>
    <row r="18" spans="1:7" ht="45">
      <c r="B18" s="1" t="s">
        <v>432</v>
      </c>
      <c r="E18" s="162"/>
      <c r="F18" s="199"/>
    </row>
    <row r="19" spans="1:7" ht="30">
      <c r="B19" s="1" t="s">
        <v>498</v>
      </c>
      <c r="F19" s="199"/>
      <c r="G19" s="73"/>
    </row>
    <row r="20" spans="1:7" ht="45">
      <c r="B20" s="1" t="s">
        <v>1276</v>
      </c>
      <c r="E20" s="162"/>
      <c r="F20" s="199"/>
    </row>
    <row r="21" spans="1:7">
      <c r="B21" s="1" t="s">
        <v>433</v>
      </c>
      <c r="C21" s="29" t="s">
        <v>11</v>
      </c>
      <c r="D21" s="40">
        <f>1158.22*1.05</f>
        <v>1216.1310000000001</v>
      </c>
      <c r="E21" s="162"/>
      <c r="F21" s="199"/>
    </row>
    <row r="22" spans="1:7">
      <c r="B22" s="1" t="s">
        <v>1277</v>
      </c>
      <c r="C22" s="29" t="s">
        <v>11</v>
      </c>
      <c r="D22" s="40">
        <f>(7.9+11.09+8.3+5.7+3.74+3.98+2.1+3.74+18.42+7.25+11.09+23.98+22.8+7.94+10.77)*1.1</f>
        <v>163.68000000000004</v>
      </c>
      <c r="E22" s="162"/>
      <c r="F22" s="199"/>
    </row>
    <row r="23" spans="1:7">
      <c r="E23" s="162"/>
      <c r="F23" s="199"/>
    </row>
    <row r="24" spans="1:7">
      <c r="E24" s="162"/>
      <c r="F24" s="199"/>
    </row>
    <row r="25" spans="1:7" ht="30">
      <c r="A25" s="17">
        <f>COUNT($A$5:A24)+1</f>
        <v>3</v>
      </c>
      <c r="B25" s="1" t="s">
        <v>1278</v>
      </c>
      <c r="E25" s="162"/>
      <c r="F25" s="199"/>
    </row>
    <row r="26" spans="1:7" ht="60">
      <c r="A26" s="549"/>
      <c r="B26" s="1" t="s">
        <v>1279</v>
      </c>
      <c r="E26" s="162"/>
      <c r="F26" s="199"/>
    </row>
    <row r="27" spans="1:7" ht="75">
      <c r="B27" s="1" t="s">
        <v>3379</v>
      </c>
      <c r="E27" s="162"/>
      <c r="F27" s="199"/>
    </row>
    <row r="28" spans="1:7" ht="45">
      <c r="B28" s="1" t="s">
        <v>1276</v>
      </c>
      <c r="E28" s="162"/>
      <c r="F28" s="199"/>
    </row>
    <row r="29" spans="1:7">
      <c r="B29" s="1" t="s">
        <v>433</v>
      </c>
      <c r="C29" s="29" t="s">
        <v>11</v>
      </c>
      <c r="D29" s="40">
        <f>1158.22*1.05</f>
        <v>1216.1310000000001</v>
      </c>
      <c r="E29" s="162"/>
      <c r="F29" s="199"/>
    </row>
    <row r="30" spans="1:7">
      <c r="B30" s="1" t="s">
        <v>1277</v>
      </c>
      <c r="C30" s="29" t="s">
        <v>11</v>
      </c>
      <c r="D30" s="40">
        <f>(7.9+11.09+8.3+5.7+3.74+3.98+2.1+3.74+18.42+7.25+11.09+23.98+22.8+7.94+10.77)*1.1</f>
        <v>163.68000000000004</v>
      </c>
      <c r="E30" s="162"/>
      <c r="F30" s="199"/>
    </row>
    <row r="31" spans="1:7">
      <c r="E31" s="162"/>
      <c r="F31" s="199"/>
    </row>
    <row r="32" spans="1:7" ht="30">
      <c r="A32" s="17">
        <f>COUNT($A$5:A31)+1</f>
        <v>4</v>
      </c>
      <c r="B32" s="1" t="s">
        <v>1287</v>
      </c>
      <c r="E32" s="162"/>
      <c r="F32" s="199"/>
    </row>
    <row r="33" spans="1:6" ht="120.75" customHeight="1">
      <c r="A33" s="549"/>
      <c r="B33" s="1" t="s">
        <v>1290</v>
      </c>
      <c r="E33" s="162"/>
      <c r="F33" s="199"/>
    </row>
    <row r="34" spans="1:6" ht="135">
      <c r="B34" s="1" t="s">
        <v>3380</v>
      </c>
      <c r="E34" s="162"/>
      <c r="F34" s="199"/>
    </row>
    <row r="35" spans="1:6" ht="45">
      <c r="B35" s="1" t="s">
        <v>1276</v>
      </c>
      <c r="E35" s="162"/>
      <c r="F35" s="199"/>
    </row>
    <row r="36" spans="1:6">
      <c r="B36" s="1" t="s">
        <v>1288</v>
      </c>
      <c r="C36" s="29" t="s">
        <v>11</v>
      </c>
      <c r="D36" s="40">
        <f>((1.1+1.8+2.02+2.48+1.85+0.95*2+2.78+2.6+2.77*2)*0.45)*1.1</f>
        <v>10.92465</v>
      </c>
      <c r="E36" s="162"/>
      <c r="F36" s="199"/>
    </row>
    <row r="37" spans="1:6">
      <c r="B37" s="1" t="s">
        <v>1289</v>
      </c>
      <c r="C37" s="29" t="s">
        <v>11</v>
      </c>
      <c r="D37" s="40">
        <f>(27.76*3+1.38*4+(2.9+8.25)*3.2+0.5*2.77+5.83*3.28+(5.6+2.99)*3.38)*1.1</f>
        <v>191.42375999999999</v>
      </c>
      <c r="E37" s="162"/>
      <c r="F37" s="199"/>
    </row>
    <row r="38" spans="1:6">
      <c r="E38" s="162"/>
      <c r="F38" s="199"/>
    </row>
    <row r="39" spans="1:6" ht="48" customHeight="1">
      <c r="A39" s="17">
        <f>COUNT($A$5:A38)+1</f>
        <v>5</v>
      </c>
      <c r="B39" s="1" t="s">
        <v>434</v>
      </c>
      <c r="E39" s="162"/>
      <c r="F39" s="199"/>
    </row>
    <row r="40" spans="1:6" ht="60">
      <c r="B40" s="1" t="s">
        <v>435</v>
      </c>
      <c r="E40" s="162"/>
      <c r="F40" s="199"/>
    </row>
    <row r="41" spans="1:6">
      <c r="B41" s="1" t="s">
        <v>295</v>
      </c>
      <c r="C41" s="29" t="s">
        <v>18</v>
      </c>
      <c r="D41" s="40">
        <v>2</v>
      </c>
      <c r="E41" s="162"/>
      <c r="F41" s="199"/>
    </row>
    <row r="42" spans="1:6">
      <c r="E42" s="162"/>
      <c r="F42" s="199"/>
    </row>
    <row r="43" spans="1:6" ht="75">
      <c r="A43" s="17">
        <f>COUNT($A$5:A42)+1</f>
        <v>6</v>
      </c>
      <c r="B43" s="1" t="s">
        <v>1280</v>
      </c>
      <c r="E43" s="162"/>
      <c r="F43" s="199"/>
    </row>
    <row r="44" spans="1:6" ht="87">
      <c r="B44" s="1" t="s">
        <v>1281</v>
      </c>
      <c r="E44" s="162"/>
      <c r="F44" s="199"/>
    </row>
    <row r="45" spans="1:6" ht="75">
      <c r="B45" s="1" t="s">
        <v>439</v>
      </c>
      <c r="E45" s="162"/>
      <c r="F45" s="199"/>
    </row>
    <row r="46" spans="1:6" ht="90">
      <c r="B46" s="1" t="s">
        <v>1282</v>
      </c>
      <c r="E46" s="162"/>
      <c r="F46" s="199"/>
    </row>
    <row r="47" spans="1:6" ht="75">
      <c r="B47" s="1" t="s">
        <v>436</v>
      </c>
      <c r="E47" s="162"/>
      <c r="F47" s="199"/>
    </row>
    <row r="48" spans="1:6" ht="29.25" customHeight="1">
      <c r="B48" s="1" t="s">
        <v>437</v>
      </c>
      <c r="E48" s="162"/>
      <c r="F48" s="199"/>
    </row>
    <row r="49" spans="1:6">
      <c r="B49" s="1" t="s">
        <v>438</v>
      </c>
    </row>
    <row r="50" spans="1:6">
      <c r="B50" s="1" t="s">
        <v>1283</v>
      </c>
      <c r="C50" s="29" t="s">
        <v>11</v>
      </c>
      <c r="D50" s="40">
        <f>(1100)</f>
        <v>1100</v>
      </c>
      <c r="E50" s="162"/>
      <c r="F50" s="199"/>
    </row>
    <row r="51" spans="1:6">
      <c r="B51" s="1" t="s">
        <v>1284</v>
      </c>
      <c r="C51" s="29" t="s">
        <v>11</v>
      </c>
      <c r="D51" s="40">
        <f>(1100)</f>
        <v>1100</v>
      </c>
      <c r="E51" s="162"/>
      <c r="F51" s="199"/>
    </row>
    <row r="52" spans="1:6">
      <c r="B52" s="1" t="s">
        <v>1285</v>
      </c>
      <c r="C52" s="29" t="s">
        <v>11</v>
      </c>
      <c r="D52" s="40">
        <f>(1100)</f>
        <v>1100</v>
      </c>
      <c r="E52" s="162"/>
      <c r="F52" s="199"/>
    </row>
    <row r="53" spans="1:6">
      <c r="B53" s="1" t="s">
        <v>1286</v>
      </c>
      <c r="C53" s="29" t="s">
        <v>11</v>
      </c>
      <c r="D53" s="40">
        <f>(1100)</f>
        <v>1100</v>
      </c>
      <c r="E53" s="162"/>
      <c r="F53" s="199"/>
    </row>
    <row r="54" spans="1:6">
      <c r="E54" s="162"/>
      <c r="F54" s="199"/>
    </row>
    <row r="55" spans="1:6" ht="105">
      <c r="A55" s="17">
        <f>COUNT($A$5:A54)+1</f>
        <v>7</v>
      </c>
      <c r="B55" s="1" t="s">
        <v>444</v>
      </c>
      <c r="E55" s="162"/>
      <c r="F55" s="199"/>
    </row>
    <row r="56" spans="1:6">
      <c r="B56" s="1" t="s">
        <v>140</v>
      </c>
      <c r="C56" s="29" t="s">
        <v>11</v>
      </c>
      <c r="D56" s="40">
        <v>10</v>
      </c>
      <c r="E56" s="162"/>
      <c r="F56" s="199"/>
    </row>
    <row r="57" spans="1:6">
      <c r="E57" s="162"/>
      <c r="F57" s="199"/>
    </row>
    <row r="58" spans="1:6" ht="47.25" customHeight="1">
      <c r="A58" s="17">
        <f>COUNT($A$5:A57)+1</f>
        <v>8</v>
      </c>
      <c r="B58" s="1" t="s">
        <v>447</v>
      </c>
      <c r="E58" s="162"/>
      <c r="F58" s="199"/>
    </row>
    <row r="59" spans="1:6" ht="60">
      <c r="B59" s="1" t="s">
        <v>445</v>
      </c>
      <c r="E59" s="162"/>
      <c r="F59" s="199"/>
    </row>
    <row r="60" spans="1:6">
      <c r="B60" s="1" t="s">
        <v>446</v>
      </c>
      <c r="C60" s="29" t="s">
        <v>11</v>
      </c>
      <c r="D60" s="40">
        <f>(64.5+5.83+5.6+3+12)*1.5</f>
        <v>136.39499999999998</v>
      </c>
      <c r="E60" s="162"/>
      <c r="F60" s="199"/>
    </row>
    <row r="61" spans="1:6">
      <c r="E61" s="162"/>
      <c r="F61" s="199"/>
    </row>
    <row r="62" spans="1:6" ht="30">
      <c r="A62" s="17">
        <f>COUNT($A$5:A61)+1</f>
        <v>9</v>
      </c>
      <c r="B62" s="1" t="s">
        <v>1291</v>
      </c>
      <c r="E62" s="162"/>
      <c r="F62" s="199"/>
    </row>
    <row r="63" spans="1:6" ht="30">
      <c r="B63" s="1" t="s">
        <v>1293</v>
      </c>
      <c r="E63" s="162"/>
      <c r="F63" s="199"/>
    </row>
    <row r="64" spans="1:6" ht="30">
      <c r="B64" s="1" t="s">
        <v>1292</v>
      </c>
      <c r="C64" s="29" t="s">
        <v>11</v>
      </c>
      <c r="D64" s="40">
        <f>(1.1*4.4*8+1.15*4.35*4+1.15*2.56+2.09*5.21+1.18*2.14*3+0.92*4.25+1.1*3.14*12+1.34*3.2+1.58*0.42+2*1.59+4.3*10.15*3+0.94*3.21*3)*1.05</f>
        <v>287.29606500000006</v>
      </c>
      <c r="E64" s="162"/>
      <c r="F64" s="199"/>
    </row>
    <row r="65" spans="1:9">
      <c r="E65" s="162"/>
      <c r="F65" s="199"/>
    </row>
    <row r="66" spans="1:9" ht="60">
      <c r="A66" s="17">
        <f>COUNT($A$5:A65)+1</f>
        <v>10</v>
      </c>
      <c r="B66" s="1" t="s">
        <v>449</v>
      </c>
      <c r="E66" s="162"/>
      <c r="F66" s="199"/>
    </row>
    <row r="67" spans="1:9">
      <c r="B67" s="1" t="s">
        <v>140</v>
      </c>
      <c r="C67" s="29" t="s">
        <v>11</v>
      </c>
      <c r="D67" s="40">
        <v>40</v>
      </c>
      <c r="E67" s="162"/>
      <c r="F67" s="199"/>
    </row>
    <row r="68" spans="1:9" s="74" customFormat="1">
      <c r="A68" s="17"/>
      <c r="B68" s="1"/>
      <c r="C68" s="29"/>
      <c r="D68" s="40"/>
      <c r="E68" s="162"/>
      <c r="F68" s="199"/>
    </row>
    <row r="69" spans="1:9" s="57" customFormat="1" ht="135">
      <c r="A69" s="133">
        <f>COUNT($A$4:A68)+1</f>
        <v>11</v>
      </c>
      <c r="B69" s="60" t="s">
        <v>483</v>
      </c>
      <c r="C69" s="72"/>
      <c r="D69" s="141"/>
      <c r="E69" s="190"/>
      <c r="F69" s="199"/>
      <c r="I69" s="70"/>
    </row>
    <row r="70" spans="1:9" s="57" customFormat="1">
      <c r="A70" s="136"/>
      <c r="B70" s="60" t="s">
        <v>140</v>
      </c>
      <c r="C70" s="72" t="s">
        <v>11</v>
      </c>
      <c r="D70" s="141">
        <v>50</v>
      </c>
      <c r="E70" s="190"/>
      <c r="F70" s="199"/>
    </row>
    <row r="71" spans="1:9">
      <c r="E71" s="162"/>
      <c r="F71" s="199"/>
    </row>
    <row r="72" spans="1:9" ht="30">
      <c r="A72" s="17">
        <f>COUNT($A$5:A71)+1</f>
        <v>12</v>
      </c>
      <c r="B72" s="1" t="s">
        <v>502</v>
      </c>
      <c r="E72" s="162"/>
      <c r="F72" s="199"/>
    </row>
    <row r="73" spans="1:9">
      <c r="B73" s="1" t="s">
        <v>51</v>
      </c>
      <c r="E73" s="162"/>
      <c r="F73" s="199"/>
    </row>
    <row r="74" spans="1:9">
      <c r="B74" s="1" t="s">
        <v>499</v>
      </c>
      <c r="C74" s="29" t="s">
        <v>43</v>
      </c>
      <c r="D74" s="40">
        <v>40</v>
      </c>
      <c r="E74" s="162"/>
      <c r="F74" s="199"/>
    </row>
    <row r="75" spans="1:9">
      <c r="B75" s="1" t="s">
        <v>500</v>
      </c>
      <c r="C75" s="29" t="s">
        <v>43</v>
      </c>
      <c r="D75" s="40">
        <f>SUM((3.4+1.83*2+5.43+2.75*2+4.29+2.48*2+(4.45+2.02*2)*8+(2.19+1.81*2)*3+5.18+1.1*2+2.99+4.45+2.02+(4.45+2.02*2)*5)*0.4)*1.05</f>
        <v>72.189599999999999</v>
      </c>
      <c r="E75" s="162"/>
      <c r="F75" s="199"/>
    </row>
    <row r="76" spans="1:9">
      <c r="B76" s="1" t="s">
        <v>501</v>
      </c>
      <c r="C76" s="29" t="s">
        <v>43</v>
      </c>
      <c r="D76" s="40">
        <f>(((3.2+2*1.85)*12+(3.13+2*2.6)+(1+2.1*2)*2)*0.5)*1.05</f>
        <v>53.303250000000013</v>
      </c>
      <c r="E76" s="162"/>
      <c r="F76" s="199"/>
    </row>
    <row r="77" spans="1:9">
      <c r="E77" s="162"/>
      <c r="F77" s="199"/>
    </row>
    <row r="78" spans="1:9">
      <c r="E78" s="162"/>
      <c r="F78" s="199"/>
    </row>
    <row r="79" spans="1:9" ht="45">
      <c r="A79" s="17">
        <f>COUNT($A$5:A78)+1</f>
        <v>13</v>
      </c>
      <c r="B79" s="1" t="s">
        <v>503</v>
      </c>
      <c r="E79" s="162"/>
      <c r="F79" s="199"/>
    </row>
    <row r="80" spans="1:9">
      <c r="B80" s="1" t="s">
        <v>54</v>
      </c>
      <c r="E80" s="162"/>
      <c r="F80" s="199"/>
    </row>
    <row r="81" spans="1:6">
      <c r="A81" s="17" t="s">
        <v>16</v>
      </c>
      <c r="B81" s="1" t="s">
        <v>53</v>
      </c>
      <c r="C81" s="29" t="s">
        <v>18</v>
      </c>
      <c r="D81" s="40">
        <v>30</v>
      </c>
      <c r="E81" s="162"/>
      <c r="F81" s="199"/>
    </row>
    <row r="82" spans="1:6">
      <c r="A82" s="17" t="s">
        <v>17</v>
      </c>
      <c r="B82" s="1" t="s">
        <v>52</v>
      </c>
      <c r="C82" s="29" t="s">
        <v>18</v>
      </c>
      <c r="D82" s="40">
        <v>30</v>
      </c>
      <c r="E82" s="162"/>
      <c r="F82" s="199"/>
    </row>
    <row r="83" spans="1:6">
      <c r="E83" s="162"/>
      <c r="F83" s="199"/>
    </row>
    <row r="84" spans="1:6">
      <c r="E84" s="162"/>
      <c r="F84" s="199"/>
    </row>
    <row r="85" spans="1:6" ht="45">
      <c r="A85" s="17">
        <f>COUNT($A$5:A84)+1</f>
        <v>14</v>
      </c>
      <c r="B85" s="1" t="s">
        <v>504</v>
      </c>
      <c r="E85" s="162"/>
      <c r="F85" s="199"/>
    </row>
    <row r="86" spans="1:6">
      <c r="B86" s="1" t="s">
        <v>55</v>
      </c>
      <c r="E86" s="162"/>
      <c r="F86" s="199"/>
    </row>
    <row r="87" spans="1:6">
      <c r="B87" s="1" t="s">
        <v>56</v>
      </c>
      <c r="C87" s="29" t="s">
        <v>43</v>
      </c>
      <c r="D87" s="40">
        <v>120</v>
      </c>
      <c r="E87" s="162"/>
      <c r="F87" s="199"/>
    </row>
    <row r="88" spans="1:6">
      <c r="B88" s="1" t="s">
        <v>57</v>
      </c>
      <c r="C88" s="29" t="s">
        <v>43</v>
      </c>
      <c r="D88" s="40">
        <v>150</v>
      </c>
      <c r="E88" s="162"/>
      <c r="F88" s="199"/>
    </row>
    <row r="89" spans="1:6">
      <c r="E89" s="162"/>
      <c r="F89" s="199"/>
    </row>
    <row r="90" spans="1:6" ht="120">
      <c r="A90" s="17">
        <f>COUNT($A$5:A89)+1</f>
        <v>15</v>
      </c>
      <c r="B90" s="1" t="s">
        <v>505</v>
      </c>
      <c r="E90" s="162"/>
      <c r="F90" s="199"/>
    </row>
    <row r="91" spans="1:6">
      <c r="B91" s="1" t="s">
        <v>58</v>
      </c>
      <c r="C91" s="29" t="s">
        <v>18</v>
      </c>
      <c r="D91" s="40">
        <v>8</v>
      </c>
      <c r="E91" s="162"/>
      <c r="F91" s="199"/>
    </row>
    <row r="92" spans="1:6">
      <c r="E92" s="162"/>
      <c r="F92" s="199"/>
    </row>
    <row r="93" spans="1:6" ht="45">
      <c r="A93" s="17">
        <f>COUNT($A$5:A92)+1</f>
        <v>16</v>
      </c>
      <c r="B93" s="1" t="s">
        <v>506</v>
      </c>
      <c r="E93" s="162"/>
      <c r="F93" s="199"/>
    </row>
    <row r="94" spans="1:6" ht="34.5" customHeight="1">
      <c r="B94" s="25" t="s">
        <v>41</v>
      </c>
      <c r="E94" s="162"/>
      <c r="F94" s="199"/>
    </row>
    <row r="95" spans="1:6" ht="30">
      <c r="B95" s="1" t="s">
        <v>62</v>
      </c>
      <c r="E95" s="162"/>
      <c r="F95" s="199"/>
    </row>
    <row r="96" spans="1:6" ht="50.25" customHeight="1">
      <c r="B96" s="1" t="s">
        <v>7</v>
      </c>
      <c r="E96" s="162"/>
      <c r="F96" s="199"/>
    </row>
    <row r="97" spans="1:6" ht="50.25" customHeight="1">
      <c r="B97" s="1" t="s">
        <v>61</v>
      </c>
      <c r="E97" s="162"/>
      <c r="F97" s="199"/>
    </row>
    <row r="98" spans="1:6" ht="45">
      <c r="B98" s="1" t="s">
        <v>60</v>
      </c>
      <c r="E98" s="162"/>
      <c r="F98" s="199"/>
    </row>
    <row r="99" spans="1:6">
      <c r="B99" s="1" t="s">
        <v>66</v>
      </c>
      <c r="E99" s="162"/>
      <c r="F99" s="199"/>
    </row>
    <row r="100" spans="1:6">
      <c r="A100" s="17" t="s">
        <v>16</v>
      </c>
      <c r="B100" s="1" t="s">
        <v>63</v>
      </c>
      <c r="C100" s="29" t="s">
        <v>18</v>
      </c>
      <c r="D100" s="40">
        <v>20</v>
      </c>
      <c r="E100" s="162"/>
      <c r="F100" s="199"/>
    </row>
    <row r="101" spans="1:6">
      <c r="A101" s="17" t="s">
        <v>17</v>
      </c>
      <c r="B101" s="1" t="s">
        <v>64</v>
      </c>
      <c r="C101" s="29" t="s">
        <v>18</v>
      </c>
      <c r="D101" s="40">
        <v>20</v>
      </c>
      <c r="E101" s="162"/>
      <c r="F101" s="199"/>
    </row>
    <row r="102" spans="1:6">
      <c r="A102" s="17" t="s">
        <v>112</v>
      </c>
      <c r="B102" s="1" t="s">
        <v>65</v>
      </c>
      <c r="C102" s="29" t="s">
        <v>18</v>
      </c>
      <c r="D102" s="40">
        <v>20</v>
      </c>
      <c r="E102" s="162"/>
      <c r="F102" s="199"/>
    </row>
    <row r="103" spans="1:6" ht="36.75" customHeight="1">
      <c r="E103" s="162"/>
      <c r="F103" s="199"/>
    </row>
    <row r="104" spans="1:6" ht="30">
      <c r="A104" s="17">
        <f>COUNT($A$5:A103)+1</f>
        <v>17</v>
      </c>
      <c r="B104" s="1" t="s">
        <v>507</v>
      </c>
      <c r="E104" s="162"/>
      <c r="F104" s="199"/>
    </row>
    <row r="105" spans="1:6" ht="45">
      <c r="B105" s="1" t="s">
        <v>67</v>
      </c>
      <c r="E105" s="162"/>
      <c r="F105" s="199"/>
    </row>
    <row r="106" spans="1:6">
      <c r="B106" s="1" t="s">
        <v>68</v>
      </c>
      <c r="E106" s="162"/>
      <c r="F106" s="199"/>
    </row>
    <row r="107" spans="1:6">
      <c r="A107" s="17" t="s">
        <v>16</v>
      </c>
      <c r="B107" s="1" t="s">
        <v>48</v>
      </c>
      <c r="C107" s="29" t="s">
        <v>74</v>
      </c>
      <c r="D107" s="40">
        <v>120</v>
      </c>
      <c r="E107" s="162"/>
      <c r="F107" s="199"/>
    </row>
    <row r="108" spans="1:6">
      <c r="A108" s="17" t="s">
        <v>17</v>
      </c>
      <c r="B108" s="1" t="s">
        <v>49</v>
      </c>
      <c r="C108" s="29" t="s">
        <v>74</v>
      </c>
      <c r="D108" s="40">
        <v>120</v>
      </c>
      <c r="E108" s="162"/>
      <c r="F108" s="199"/>
    </row>
    <row r="109" spans="1:6">
      <c r="E109" s="162"/>
      <c r="F109" s="199"/>
    </row>
    <row r="110" spans="1:6" ht="45">
      <c r="A110" s="17">
        <f>COUNT($A$5:A109)+1</f>
        <v>18</v>
      </c>
      <c r="B110" s="1" t="s">
        <v>508</v>
      </c>
      <c r="E110" s="162"/>
      <c r="F110" s="199"/>
    </row>
    <row r="111" spans="1:6" ht="48.75" customHeight="1">
      <c r="B111" s="1" t="s">
        <v>69</v>
      </c>
      <c r="E111" s="162"/>
      <c r="F111" s="199"/>
    </row>
    <row r="112" spans="1:6" ht="45">
      <c r="B112" s="1" t="s">
        <v>70</v>
      </c>
      <c r="E112" s="162"/>
      <c r="F112" s="199"/>
    </row>
    <row r="113" spans="1:7" ht="17.25" customHeight="1">
      <c r="B113" s="25" t="s">
        <v>41</v>
      </c>
      <c r="E113" s="162"/>
      <c r="F113" s="199"/>
    </row>
    <row r="114" spans="1:7" ht="75">
      <c r="B114" s="1" t="s">
        <v>1453</v>
      </c>
      <c r="E114" s="162"/>
      <c r="F114" s="199"/>
    </row>
    <row r="115" spans="1:7">
      <c r="B115" s="1" t="s">
        <v>71</v>
      </c>
      <c r="E115" s="162"/>
      <c r="F115" s="199"/>
    </row>
    <row r="116" spans="1:7">
      <c r="A116" s="17" t="s">
        <v>16</v>
      </c>
      <c r="B116" s="1" t="s">
        <v>73</v>
      </c>
      <c r="C116" s="29" t="s">
        <v>11</v>
      </c>
      <c r="D116" s="40">
        <v>15</v>
      </c>
      <c r="E116" s="162"/>
      <c r="F116" s="199"/>
    </row>
    <row r="117" spans="1:7">
      <c r="A117" s="17" t="s">
        <v>17</v>
      </c>
      <c r="B117" s="1" t="s">
        <v>72</v>
      </c>
      <c r="C117" s="29" t="s">
        <v>11</v>
      </c>
      <c r="D117" s="40">
        <v>10</v>
      </c>
      <c r="E117" s="162"/>
      <c r="F117" s="199"/>
    </row>
    <row r="118" spans="1:7">
      <c r="E118" s="162"/>
      <c r="F118" s="199"/>
    </row>
    <row r="119" spans="1:7">
      <c r="E119" s="162"/>
      <c r="F119" s="199"/>
    </row>
    <row r="120" spans="1:7" ht="120">
      <c r="A120" s="17">
        <f>COUNT($A$5:A119)+1</f>
        <v>19</v>
      </c>
      <c r="B120" s="1" t="s">
        <v>1294</v>
      </c>
      <c r="E120" s="162"/>
      <c r="F120" s="199"/>
    </row>
    <row r="121" spans="1:7" ht="45">
      <c r="B121" s="1" t="s">
        <v>150</v>
      </c>
      <c r="C121" s="29" t="s">
        <v>43</v>
      </c>
      <c r="D121" s="40">
        <v>60</v>
      </c>
      <c r="E121" s="162"/>
      <c r="F121" s="199"/>
    </row>
    <row r="122" spans="1:7">
      <c r="F122" s="199"/>
    </row>
    <row r="123" spans="1:7" ht="105">
      <c r="A123" s="17">
        <f>COUNT($A$5:A122)+1</f>
        <v>20</v>
      </c>
      <c r="B123" s="1" t="s">
        <v>509</v>
      </c>
      <c r="E123" s="162"/>
      <c r="F123" s="199"/>
    </row>
    <row r="124" spans="1:7" ht="45">
      <c r="B124" s="1" t="s">
        <v>150</v>
      </c>
      <c r="C124" s="29" t="s">
        <v>43</v>
      </c>
      <c r="D124" s="40">
        <v>10</v>
      </c>
      <c r="E124" s="162"/>
      <c r="F124" s="199"/>
    </row>
    <row r="125" spans="1:7">
      <c r="F125" s="199"/>
    </row>
    <row r="126" spans="1:7" ht="30">
      <c r="A126" s="17">
        <f>COUNT($A$4:A124)+1</f>
        <v>21</v>
      </c>
      <c r="B126" s="25" t="s">
        <v>1382</v>
      </c>
      <c r="D126" s="127"/>
      <c r="E126" s="182"/>
      <c r="F126" s="183"/>
      <c r="G126" s="2"/>
    </row>
    <row r="127" spans="1:7" ht="107.25" customHeight="1">
      <c r="A127" s="260"/>
      <c r="B127" s="1" t="s">
        <v>1383</v>
      </c>
      <c r="D127" s="128"/>
      <c r="E127" s="182"/>
      <c r="F127" s="183"/>
      <c r="G127" s="2"/>
    </row>
    <row r="128" spans="1:7" ht="90">
      <c r="A128" s="33"/>
      <c r="B128" s="1" t="s">
        <v>1384</v>
      </c>
      <c r="D128" s="128"/>
      <c r="E128" s="182"/>
      <c r="F128" s="183"/>
      <c r="G128" s="2"/>
    </row>
    <row r="129" spans="1:7" ht="60">
      <c r="A129" s="33"/>
      <c r="B129" s="1" t="s">
        <v>1385</v>
      </c>
      <c r="D129" s="128"/>
      <c r="E129" s="182"/>
      <c r="F129" s="183"/>
      <c r="G129" s="2"/>
    </row>
    <row r="130" spans="1:7" ht="120">
      <c r="A130" s="33"/>
      <c r="B130" s="1" t="s">
        <v>1386</v>
      </c>
      <c r="D130" s="128"/>
      <c r="E130" s="182"/>
      <c r="F130" s="183"/>
      <c r="G130" s="2"/>
    </row>
    <row r="131" spans="1:7" ht="30">
      <c r="A131" s="33"/>
      <c r="B131" s="1" t="s">
        <v>1387</v>
      </c>
      <c r="C131" s="29" t="s">
        <v>11</v>
      </c>
      <c r="D131" s="128">
        <f>(2.23*2+3.9*1.75+4.1*1.56+1.76+(2.39*4+0.4*2)*0.55+0.4*2.39*2)*1.15</f>
        <v>31.108650000000001</v>
      </c>
      <c r="E131" s="182"/>
      <c r="F131" s="183"/>
      <c r="G131" s="2"/>
    </row>
    <row r="132" spans="1:7">
      <c r="A132" s="33"/>
      <c r="D132" s="128"/>
      <c r="E132" s="182"/>
      <c r="F132" s="183"/>
      <c r="G132" s="2"/>
    </row>
    <row r="133" spans="1:7" ht="30">
      <c r="A133" s="17">
        <f>COUNT($A$4:A131)+1</f>
        <v>22</v>
      </c>
      <c r="B133" s="25" t="s">
        <v>1620</v>
      </c>
      <c r="D133" s="127"/>
      <c r="E133" s="182"/>
      <c r="F133" s="183"/>
      <c r="G133" s="2"/>
    </row>
    <row r="134" spans="1:7" ht="65.25" customHeight="1">
      <c r="A134" s="260"/>
      <c r="B134" s="1" t="s">
        <v>1624</v>
      </c>
      <c r="D134" s="128"/>
      <c r="E134" s="182"/>
      <c r="F134" s="183"/>
      <c r="G134" s="2"/>
    </row>
    <row r="135" spans="1:7" ht="30">
      <c r="A135" s="33"/>
      <c r="B135" s="1" t="s">
        <v>1621</v>
      </c>
      <c r="D135" s="128"/>
      <c r="E135" s="182"/>
      <c r="F135" s="183"/>
      <c r="G135" s="2"/>
    </row>
    <row r="136" spans="1:7">
      <c r="A136" s="33"/>
      <c r="B136" s="1" t="s">
        <v>1622</v>
      </c>
      <c r="C136" s="29" t="s">
        <v>11</v>
      </c>
      <c r="D136" s="128">
        <v>67</v>
      </c>
      <c r="E136" s="182"/>
      <c r="F136" s="183"/>
      <c r="G136" s="2"/>
    </row>
    <row r="137" spans="1:7">
      <c r="A137" s="33"/>
      <c r="D137" s="128"/>
      <c r="E137" s="182"/>
      <c r="F137" s="183"/>
      <c r="G137" s="2"/>
    </row>
    <row r="138" spans="1:7" ht="30">
      <c r="A138" s="17">
        <f>COUNT($A$4:A136)+1</f>
        <v>23</v>
      </c>
      <c r="B138" s="25" t="s">
        <v>1623</v>
      </c>
      <c r="D138" s="127"/>
      <c r="E138" s="182"/>
      <c r="F138" s="183"/>
      <c r="G138" s="2"/>
    </row>
    <row r="139" spans="1:7" ht="79.5" customHeight="1">
      <c r="A139" s="260"/>
      <c r="B139" s="1" t="s">
        <v>1625</v>
      </c>
      <c r="D139" s="128"/>
      <c r="E139" s="182"/>
      <c r="F139" s="183"/>
      <c r="G139" s="2"/>
    </row>
    <row r="140" spans="1:7" ht="30">
      <c r="A140" s="33"/>
      <c r="B140" s="1" t="s">
        <v>1621</v>
      </c>
      <c r="D140" s="128"/>
      <c r="E140" s="182"/>
      <c r="F140" s="183"/>
      <c r="G140" s="2"/>
    </row>
    <row r="141" spans="1:7">
      <c r="A141" s="33"/>
      <c r="B141" s="1" t="s">
        <v>1622</v>
      </c>
      <c r="C141" s="29" t="s">
        <v>11</v>
      </c>
      <c r="D141" s="128">
        <f>(18.42+23.8+31.8+31.38+57.58+56.37+54.06)*1.2-D136</f>
        <v>261.09199999999993</v>
      </c>
      <c r="E141" s="182"/>
      <c r="F141" s="183"/>
      <c r="G141" s="2"/>
    </row>
    <row r="142" spans="1:7">
      <c r="A142" s="33"/>
      <c r="D142" s="128"/>
      <c r="E142" s="182"/>
      <c r="F142" s="183"/>
      <c r="G142" s="2"/>
    </row>
    <row r="143" spans="1:7">
      <c r="A143" s="33"/>
      <c r="D143" s="128"/>
      <c r="E143" s="182"/>
      <c r="F143" s="183"/>
      <c r="G143" s="2"/>
    </row>
    <row r="144" spans="1:7">
      <c r="E144" s="162"/>
    </row>
    <row r="145" spans="1:6">
      <c r="A145" s="172" t="s">
        <v>142</v>
      </c>
      <c r="B145" s="173" t="s">
        <v>50</v>
      </c>
      <c r="C145" s="174"/>
      <c r="D145" s="175"/>
      <c r="E145" s="176"/>
      <c r="F145" s="177"/>
    </row>
    <row r="146" spans="1:6">
      <c r="E146" s="162"/>
    </row>
    <row r="147" spans="1:6" s="55" customFormat="1">
      <c r="A147" s="17"/>
      <c r="B147" s="24"/>
      <c r="C147" s="29"/>
      <c r="D147" s="40"/>
      <c r="E147" s="162"/>
      <c r="F147" s="163"/>
    </row>
  </sheetData>
  <pageMargins left="0.7" right="0.7" top="0.82250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11.xml><?xml version="1.0" encoding="utf-8"?>
<worksheet xmlns="http://schemas.openxmlformats.org/spreadsheetml/2006/main" xmlns:r="http://schemas.openxmlformats.org/officeDocument/2006/relationships">
  <sheetPr>
    <tabColor rgb="FFFFC000"/>
  </sheetPr>
  <dimension ref="A1:K41"/>
  <sheetViews>
    <sheetView showZeros="0" view="pageBreakPreview" zoomScale="85" zoomScaleNormal="85" zoomScaleSheetLayoutView="85" workbookViewId="0">
      <selection activeCell="E2" sqref="E2:F41"/>
    </sheetView>
  </sheetViews>
  <sheetFormatPr defaultColWidth="8.85546875" defaultRowHeight="15"/>
  <cols>
    <col min="1" max="1" width="8.7109375" style="17" customWidth="1"/>
    <col min="2" max="2" width="45" style="1" customWidth="1"/>
    <col min="3" max="3" width="8.5703125" style="29" customWidth="1"/>
    <col min="4" max="4" width="10.7109375" style="40" customWidth="1"/>
    <col min="5" max="5" width="13.7109375" style="183" customWidth="1"/>
    <col min="6" max="6" width="16.7109375" style="183" customWidth="1"/>
    <col min="7" max="16384" width="8.85546875" style="2"/>
  </cols>
  <sheetData>
    <row r="1" spans="1:11">
      <c r="A1" s="107" t="s">
        <v>260</v>
      </c>
      <c r="B1" s="107" t="s">
        <v>261</v>
      </c>
      <c r="C1" s="64" t="s">
        <v>262</v>
      </c>
      <c r="D1" s="109" t="s">
        <v>263</v>
      </c>
      <c r="E1" s="186" t="s">
        <v>264</v>
      </c>
      <c r="F1" s="187" t="s">
        <v>265</v>
      </c>
    </row>
    <row r="3" spans="1:11">
      <c r="A3" s="17" t="s">
        <v>36</v>
      </c>
      <c r="B3" s="25" t="s">
        <v>559</v>
      </c>
      <c r="E3" s="182"/>
    </row>
    <row r="4" spans="1:11">
      <c r="E4" s="182"/>
    </row>
    <row r="5" spans="1:11">
      <c r="B5" s="1" t="s">
        <v>496</v>
      </c>
      <c r="E5" s="182"/>
    </row>
    <row r="6" spans="1:11" ht="60">
      <c r="B6" s="1" t="s">
        <v>683</v>
      </c>
      <c r="E6" s="182"/>
      <c r="K6" s="551"/>
    </row>
    <row r="7" spans="1:11">
      <c r="B7" s="1" t="s">
        <v>564</v>
      </c>
      <c r="E7" s="182"/>
    </row>
    <row r="8" spans="1:11" ht="60">
      <c r="B8" s="1" t="s">
        <v>1469</v>
      </c>
      <c r="E8" s="182"/>
    </row>
    <row r="9" spans="1:11">
      <c r="E9" s="182"/>
    </row>
    <row r="10" spans="1:11" ht="16.5" customHeight="1">
      <c r="E10" s="182"/>
    </row>
    <row r="11" spans="1:11">
      <c r="E11" s="182"/>
    </row>
    <row r="12" spans="1:11">
      <c r="E12" s="182"/>
    </row>
    <row r="13" spans="1:11">
      <c r="E13" s="182"/>
    </row>
    <row r="15" spans="1:11" ht="30">
      <c r="A15" s="17">
        <f>COUNT($A$5:A14)+1</f>
        <v>1</v>
      </c>
      <c r="B15" s="1" t="s">
        <v>1201</v>
      </c>
      <c r="E15" s="182"/>
    </row>
    <row r="16" spans="1:11" ht="30">
      <c r="B16" s="1" t="s">
        <v>1202</v>
      </c>
      <c r="E16" s="182"/>
    </row>
    <row r="17" spans="1:7" ht="90">
      <c r="B17" s="1" t="s">
        <v>1583</v>
      </c>
      <c r="E17" s="182"/>
    </row>
    <row r="18" spans="1:7" ht="30">
      <c r="B18" s="1" t="s">
        <v>1209</v>
      </c>
      <c r="C18" s="29" t="s">
        <v>11</v>
      </c>
      <c r="D18" s="40">
        <f>1323*1.1</f>
        <v>1455.3000000000002</v>
      </c>
      <c r="E18" s="182"/>
    </row>
    <row r="19" spans="1:7">
      <c r="E19" s="182"/>
    </row>
    <row r="20" spans="1:7" ht="30">
      <c r="A20" s="17">
        <f>COUNT($A$5:A18)+1</f>
        <v>2</v>
      </c>
      <c r="B20" s="1" t="s">
        <v>1203</v>
      </c>
      <c r="E20" s="182"/>
    </row>
    <row r="21" spans="1:7" ht="45">
      <c r="B21" s="1" t="s">
        <v>1204</v>
      </c>
      <c r="E21" s="182"/>
    </row>
    <row r="22" spans="1:7" ht="60">
      <c r="B22" s="1" t="s">
        <v>3381</v>
      </c>
      <c r="E22" s="182"/>
    </row>
    <row r="23" spans="1:7">
      <c r="B23" s="1" t="s">
        <v>1205</v>
      </c>
      <c r="C23" s="29" t="s">
        <v>9</v>
      </c>
      <c r="D23" s="40">
        <v>3</v>
      </c>
      <c r="E23" s="182"/>
    </row>
    <row r="24" spans="1:7">
      <c r="E24" s="182"/>
    </row>
    <row r="25" spans="1:7">
      <c r="E25" s="182"/>
    </row>
    <row r="26" spans="1:7" s="57" customFormat="1" ht="30">
      <c r="A26" s="133">
        <f>COUNT($A$1:A25)+1</f>
        <v>3</v>
      </c>
      <c r="B26" s="57" t="s">
        <v>566</v>
      </c>
      <c r="C26" s="78"/>
      <c r="D26" s="131"/>
      <c r="E26" s="178"/>
      <c r="F26" s="183"/>
      <c r="G26" s="78"/>
    </row>
    <row r="27" spans="1:7" s="57" customFormat="1" ht="30">
      <c r="A27" s="137"/>
      <c r="B27" s="57" t="s">
        <v>565</v>
      </c>
      <c r="C27" s="78"/>
      <c r="D27" s="131"/>
      <c r="E27" s="178"/>
      <c r="F27" s="183"/>
      <c r="G27" s="78"/>
    </row>
    <row r="28" spans="1:7" s="57" customFormat="1">
      <c r="A28" s="137"/>
      <c r="B28" s="60" t="s">
        <v>1206</v>
      </c>
      <c r="C28" s="74" t="s">
        <v>11</v>
      </c>
      <c r="D28" s="130">
        <v>1500</v>
      </c>
      <c r="E28" s="179"/>
      <c r="F28" s="183"/>
      <c r="G28" s="78"/>
    </row>
    <row r="29" spans="1:7" s="57" customFormat="1">
      <c r="A29" s="137"/>
      <c r="B29" s="60"/>
      <c r="C29" s="78"/>
      <c r="D29" s="131"/>
      <c r="E29" s="178"/>
      <c r="F29" s="183"/>
      <c r="G29" s="78"/>
    </row>
    <row r="30" spans="1:7" s="57" customFormat="1" ht="30">
      <c r="A30" s="133">
        <f>COUNT($A$1:A29)+1</f>
        <v>4</v>
      </c>
      <c r="B30" s="57" t="s">
        <v>567</v>
      </c>
      <c r="C30" s="78"/>
      <c r="D30" s="131"/>
      <c r="E30" s="178"/>
      <c r="F30" s="183"/>
      <c r="G30" s="78"/>
    </row>
    <row r="31" spans="1:7" s="57" customFormat="1" ht="30">
      <c r="A31" s="137"/>
      <c r="B31" s="57" t="s">
        <v>565</v>
      </c>
      <c r="C31" s="78"/>
      <c r="D31" s="131"/>
      <c r="E31" s="178"/>
      <c r="F31" s="183"/>
      <c r="G31" s="78"/>
    </row>
    <row r="32" spans="1:7" s="57" customFormat="1">
      <c r="A32" s="137"/>
      <c r="B32" s="60" t="s">
        <v>140</v>
      </c>
      <c r="C32" s="74" t="s">
        <v>11</v>
      </c>
      <c r="D32" s="130">
        <f>((30.4+3.2)*1.2)*1.1</f>
        <v>44.352000000000004</v>
      </c>
      <c r="E32" s="179"/>
      <c r="F32" s="183"/>
      <c r="G32" s="78"/>
    </row>
    <row r="33" spans="1:7">
      <c r="E33" s="182"/>
    </row>
    <row r="34" spans="1:7" s="57" customFormat="1" ht="30">
      <c r="A34" s="133">
        <f>COUNT($A$5:A33)+1</f>
        <v>5</v>
      </c>
      <c r="B34" s="150" t="s">
        <v>821</v>
      </c>
      <c r="C34" s="58"/>
      <c r="D34" s="130"/>
      <c r="E34" s="179"/>
      <c r="F34" s="183"/>
      <c r="G34" s="552"/>
    </row>
    <row r="35" spans="1:7" s="57" customFormat="1" ht="300">
      <c r="A35" s="149"/>
      <c r="B35" s="150" t="s">
        <v>1207</v>
      </c>
      <c r="C35" s="58"/>
      <c r="D35" s="130"/>
      <c r="E35" s="179"/>
      <c r="F35" s="183"/>
      <c r="G35" s="78"/>
    </row>
    <row r="36" spans="1:7" s="57" customFormat="1" ht="30">
      <c r="A36" s="149"/>
      <c r="B36" s="150" t="s">
        <v>1208</v>
      </c>
      <c r="C36" s="58"/>
      <c r="D36" s="130"/>
      <c r="E36" s="179"/>
      <c r="F36" s="183"/>
      <c r="G36" s="78"/>
    </row>
    <row r="37" spans="1:7" s="57" customFormat="1" ht="75">
      <c r="A37" s="149"/>
      <c r="B37" s="150" t="s">
        <v>642</v>
      </c>
      <c r="C37" s="58"/>
      <c r="D37" s="130"/>
      <c r="E37" s="179"/>
      <c r="F37" s="183"/>
      <c r="G37" s="78"/>
    </row>
    <row r="38" spans="1:7" s="57" customFormat="1" ht="30">
      <c r="A38" s="149"/>
      <c r="B38" s="57" t="s">
        <v>491</v>
      </c>
      <c r="C38" s="78" t="s">
        <v>18</v>
      </c>
      <c r="D38" s="141">
        <v>1</v>
      </c>
      <c r="E38" s="178"/>
      <c r="F38" s="183"/>
      <c r="G38" s="78"/>
    </row>
    <row r="39" spans="1:7">
      <c r="E39" s="182"/>
    </row>
    <row r="41" spans="1:7">
      <c r="A41" s="172" t="s">
        <v>36</v>
      </c>
      <c r="B41" s="173" t="s">
        <v>560</v>
      </c>
      <c r="C41" s="174"/>
      <c r="D41" s="175"/>
      <c r="E41" s="192"/>
      <c r="F41" s="193"/>
    </row>
  </sheetData>
  <pageMargins left="0.7" right="0.7" top="0.82250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12.xml><?xml version="1.0" encoding="utf-8"?>
<worksheet xmlns="http://schemas.openxmlformats.org/spreadsheetml/2006/main" xmlns:r="http://schemas.openxmlformats.org/officeDocument/2006/relationships">
  <sheetPr>
    <tabColor rgb="FF0070C0"/>
  </sheetPr>
  <dimension ref="A1:F222"/>
  <sheetViews>
    <sheetView showZeros="0" view="pageBreakPreview" zoomScaleNormal="85" zoomScaleSheetLayoutView="100" workbookViewId="0">
      <selection activeCell="E2" sqref="E2:F222"/>
    </sheetView>
  </sheetViews>
  <sheetFormatPr defaultColWidth="9.140625" defaultRowHeight="15"/>
  <cols>
    <col min="1" max="1" width="8.7109375" style="23" customWidth="1"/>
    <col min="2" max="2" width="45.140625" style="24" customWidth="1"/>
    <col min="3" max="3" width="8.5703125" style="29" customWidth="1"/>
    <col min="4" max="4" width="10.7109375" style="127" customWidth="1"/>
    <col min="5" max="5" width="13.7109375" style="163" customWidth="1"/>
    <col min="6" max="6" width="16.7109375" style="163" customWidth="1"/>
    <col min="7" max="11" width="9.140625" style="2"/>
    <col min="12" max="12" width="12" style="2" bestFit="1" customWidth="1"/>
    <col min="13" max="16384" width="9.140625" style="2"/>
  </cols>
  <sheetData>
    <row r="1" spans="1:6">
      <c r="A1" s="118" t="s">
        <v>260</v>
      </c>
      <c r="B1" s="107" t="s">
        <v>261</v>
      </c>
      <c r="C1" s="64" t="s">
        <v>262</v>
      </c>
      <c r="D1" s="114" t="s">
        <v>263</v>
      </c>
      <c r="E1" s="158" t="s">
        <v>264</v>
      </c>
      <c r="F1" s="159" t="s">
        <v>265</v>
      </c>
    </row>
    <row r="3" spans="1:6">
      <c r="A3" s="17" t="s">
        <v>684</v>
      </c>
      <c r="B3" s="25" t="s">
        <v>185</v>
      </c>
      <c r="E3" s="162"/>
    </row>
    <row r="4" spans="1:6">
      <c r="B4" s="1"/>
      <c r="E4" s="162"/>
    </row>
    <row r="5" spans="1:6">
      <c r="B5" s="1" t="s">
        <v>186</v>
      </c>
      <c r="E5" s="162"/>
    </row>
    <row r="6" spans="1:6" ht="90">
      <c r="B6" s="1" t="s">
        <v>187</v>
      </c>
      <c r="E6" s="162"/>
    </row>
    <row r="7" spans="1:6" ht="90">
      <c r="B7" s="1" t="s">
        <v>1607</v>
      </c>
      <c r="E7" s="162"/>
    </row>
    <row r="8" spans="1:6" ht="45">
      <c r="B8" s="1" t="s">
        <v>1042</v>
      </c>
      <c r="E8" s="162"/>
    </row>
    <row r="9" spans="1:6" ht="45">
      <c r="B9" s="1" t="s">
        <v>643</v>
      </c>
      <c r="E9" s="162"/>
    </row>
    <row r="10" spans="1:6" ht="60">
      <c r="B10" s="1" t="s">
        <v>188</v>
      </c>
      <c r="E10" s="162"/>
    </row>
    <row r="11" spans="1:6">
      <c r="B11" s="1" t="s">
        <v>189</v>
      </c>
      <c r="E11" s="162"/>
    </row>
    <row r="12" spans="1:6" ht="30">
      <c r="B12" s="1" t="s">
        <v>190</v>
      </c>
      <c r="E12" s="162"/>
    </row>
    <row r="13" spans="1:6" ht="60">
      <c r="B13" s="1" t="s">
        <v>191</v>
      </c>
      <c r="E13" s="162"/>
    </row>
    <row r="14" spans="1:6">
      <c r="B14" s="1"/>
      <c r="E14" s="162"/>
    </row>
    <row r="15" spans="1:6" ht="30">
      <c r="B15" s="1" t="s">
        <v>1596</v>
      </c>
      <c r="E15" s="162"/>
    </row>
    <row r="16" spans="1:6">
      <c r="B16" s="1"/>
      <c r="E16" s="162"/>
    </row>
    <row r="17" spans="2:5">
      <c r="B17" s="1" t="s">
        <v>1595</v>
      </c>
      <c r="E17" s="162"/>
    </row>
    <row r="18" spans="2:5" ht="30">
      <c r="B18" s="1" t="s">
        <v>192</v>
      </c>
      <c r="E18" s="162"/>
    </row>
    <row r="19" spans="2:5" ht="45">
      <c r="B19" s="1" t="s">
        <v>1597</v>
      </c>
      <c r="E19" s="162"/>
    </row>
    <row r="20" spans="2:5">
      <c r="B20" s="553" t="s">
        <v>3382</v>
      </c>
      <c r="E20" s="162"/>
    </row>
    <row r="21" spans="2:5">
      <c r="B21" s="553" t="s">
        <v>3383</v>
      </c>
      <c r="E21" s="162"/>
    </row>
    <row r="22" spans="2:5">
      <c r="B22" s="553"/>
      <c r="E22" s="162"/>
    </row>
    <row r="23" spans="2:5" ht="30">
      <c r="B23" s="1" t="s">
        <v>193</v>
      </c>
      <c r="E23" s="162"/>
    </row>
    <row r="24" spans="2:5" ht="105">
      <c r="B24" s="1" t="s">
        <v>194</v>
      </c>
      <c r="E24" s="162"/>
    </row>
    <row r="25" spans="2:5" ht="30">
      <c r="B25" s="1" t="s">
        <v>195</v>
      </c>
      <c r="E25" s="162"/>
    </row>
    <row r="26" spans="2:5" ht="105" customHeight="1">
      <c r="B26" s="1" t="s">
        <v>1598</v>
      </c>
      <c r="E26" s="162"/>
    </row>
    <row r="27" spans="2:5" ht="22.5" customHeight="1">
      <c r="B27" s="1"/>
      <c r="E27" s="162"/>
    </row>
    <row r="28" spans="2:5">
      <c r="B28" s="293" t="s">
        <v>196</v>
      </c>
      <c r="E28" s="162"/>
    </row>
    <row r="29" spans="2:5" ht="167.25">
      <c r="B29" s="1" t="s">
        <v>1600</v>
      </c>
      <c r="E29" s="162"/>
    </row>
    <row r="30" spans="2:5" ht="34.5" customHeight="1">
      <c r="B30" s="1" t="s">
        <v>1599</v>
      </c>
      <c r="E30" s="162"/>
    </row>
    <row r="31" spans="2:5" ht="60">
      <c r="B31" s="1" t="s">
        <v>1601</v>
      </c>
      <c r="E31" s="162"/>
    </row>
    <row r="32" spans="2:5" ht="75">
      <c r="B32" s="1" t="s">
        <v>197</v>
      </c>
      <c r="E32" s="162"/>
    </row>
    <row r="33" spans="2:5" ht="60">
      <c r="B33" s="1" t="s">
        <v>1602</v>
      </c>
      <c r="E33" s="162"/>
    </row>
    <row r="34" spans="2:5" ht="45">
      <c r="B34" s="1" t="s">
        <v>3384</v>
      </c>
      <c r="E34" s="162"/>
    </row>
    <row r="35" spans="2:5" ht="135">
      <c r="B35" s="1" t="s">
        <v>644</v>
      </c>
      <c r="E35" s="162"/>
    </row>
    <row r="36" spans="2:5" ht="30">
      <c r="B36" s="1" t="s">
        <v>645</v>
      </c>
      <c r="E36" s="162"/>
    </row>
    <row r="37" spans="2:5" ht="150">
      <c r="B37" s="1" t="s">
        <v>646</v>
      </c>
      <c r="E37" s="162"/>
    </row>
    <row r="38" spans="2:5" ht="150">
      <c r="B38" s="1" t="s">
        <v>647</v>
      </c>
      <c r="E38" s="162"/>
    </row>
    <row r="39" spans="2:5">
      <c r="B39" s="1"/>
      <c r="E39" s="162"/>
    </row>
    <row r="40" spans="2:5" ht="60">
      <c r="B40" s="1" t="s">
        <v>648</v>
      </c>
      <c r="E40" s="162"/>
    </row>
    <row r="41" spans="2:5" ht="195">
      <c r="B41" s="1" t="s">
        <v>1043</v>
      </c>
      <c r="E41" s="162"/>
    </row>
    <row r="42" spans="2:5" ht="147" customHeight="1">
      <c r="B42" s="1" t="s">
        <v>1603</v>
      </c>
      <c r="E42" s="162"/>
    </row>
    <row r="43" spans="2:5" ht="45">
      <c r="B43" s="25" t="s">
        <v>198</v>
      </c>
      <c r="E43" s="162"/>
    </row>
    <row r="44" spans="2:5" ht="240">
      <c r="B44" s="1" t="s">
        <v>199</v>
      </c>
      <c r="E44" s="162"/>
    </row>
    <row r="45" spans="2:5" ht="120">
      <c r="B45" s="1" t="s">
        <v>200</v>
      </c>
      <c r="E45" s="162"/>
    </row>
    <row r="46" spans="2:5" ht="45">
      <c r="B46" s="1" t="s">
        <v>201</v>
      </c>
      <c r="E46" s="162"/>
    </row>
    <row r="47" spans="2:5" ht="60">
      <c r="B47" s="1" t="s">
        <v>202</v>
      </c>
      <c r="E47" s="162"/>
    </row>
    <row r="48" spans="2:5" ht="90">
      <c r="B48" s="1" t="s">
        <v>251</v>
      </c>
      <c r="E48" s="162"/>
    </row>
    <row r="49" spans="2:5" ht="30">
      <c r="B49" s="1" t="s">
        <v>203</v>
      </c>
      <c r="E49" s="162"/>
    </row>
    <row r="50" spans="2:5">
      <c r="B50" s="24" t="s">
        <v>252</v>
      </c>
      <c r="E50" s="162"/>
    </row>
    <row r="51" spans="2:5" ht="165">
      <c r="B51" s="1" t="s">
        <v>204</v>
      </c>
      <c r="E51" s="162"/>
    </row>
    <row r="52" spans="2:5" ht="105">
      <c r="B52" s="1" t="s">
        <v>271</v>
      </c>
      <c r="E52" s="162"/>
    </row>
    <row r="53" spans="2:5" ht="75">
      <c r="B53" s="1" t="s">
        <v>1604</v>
      </c>
      <c r="E53" s="162"/>
    </row>
    <row r="54" spans="2:5">
      <c r="B54" s="1"/>
      <c r="E54" s="162"/>
    </row>
    <row r="55" spans="2:5" ht="105">
      <c r="B55" s="1" t="s">
        <v>1606</v>
      </c>
      <c r="E55" s="162"/>
    </row>
    <row r="56" spans="2:5" ht="45">
      <c r="B56" s="1" t="s">
        <v>1642</v>
      </c>
      <c r="E56" s="162"/>
    </row>
    <row r="57" spans="2:5" ht="45">
      <c r="B57" s="1" t="s">
        <v>1643</v>
      </c>
      <c r="E57" s="162"/>
    </row>
    <row r="58" spans="2:5" ht="45">
      <c r="B58" s="1" t="s">
        <v>1644</v>
      </c>
      <c r="E58" s="162"/>
    </row>
    <row r="59" spans="2:5" ht="75">
      <c r="B59" s="1" t="s">
        <v>1645</v>
      </c>
      <c r="E59" s="162"/>
    </row>
    <row r="60" spans="2:5">
      <c r="B60" s="1"/>
      <c r="E60" s="162"/>
    </row>
    <row r="61" spans="2:5" ht="90">
      <c r="B61" s="1" t="s">
        <v>1605</v>
      </c>
      <c r="E61" s="162"/>
    </row>
    <row r="62" spans="2:5" ht="75">
      <c r="B62" s="1" t="s">
        <v>272</v>
      </c>
      <c r="E62" s="162"/>
    </row>
    <row r="63" spans="2:5" ht="303.75" customHeight="1">
      <c r="B63" s="1" t="s">
        <v>3385</v>
      </c>
      <c r="E63" s="162"/>
    </row>
    <row r="64" spans="2:5" ht="60">
      <c r="B64" s="1" t="s">
        <v>1608</v>
      </c>
      <c r="E64" s="162"/>
    </row>
    <row r="65" spans="1:5" ht="90">
      <c r="B65" s="1" t="s">
        <v>1609</v>
      </c>
      <c r="E65" s="162"/>
    </row>
    <row r="66" spans="1:5">
      <c r="B66" s="1"/>
      <c r="E66" s="162"/>
    </row>
    <row r="67" spans="1:5">
      <c r="B67" s="1"/>
      <c r="E67" s="162"/>
    </row>
    <row r="68" spans="1:5">
      <c r="B68" s="1"/>
      <c r="E68" s="162"/>
    </row>
    <row r="69" spans="1:5">
      <c r="B69" s="1"/>
      <c r="E69" s="162"/>
    </row>
    <row r="70" spans="1:5">
      <c r="B70" s="1" t="s">
        <v>1090</v>
      </c>
      <c r="E70" s="162"/>
    </row>
    <row r="71" spans="1:5">
      <c r="B71" s="1"/>
      <c r="E71" s="162"/>
    </row>
    <row r="72" spans="1:5" ht="90">
      <c r="B72" s="1" t="s">
        <v>1609</v>
      </c>
      <c r="E72" s="162"/>
    </row>
    <row r="73" spans="1:5">
      <c r="B73" s="1"/>
      <c r="E73" s="162"/>
    </row>
    <row r="74" spans="1:5">
      <c r="A74" s="23">
        <f>COUNT($A$2:A73)+1</f>
        <v>1</v>
      </c>
      <c r="B74" s="25" t="s">
        <v>1044</v>
      </c>
      <c r="C74" s="29" t="s">
        <v>18</v>
      </c>
      <c r="D74" s="127">
        <v>12</v>
      </c>
      <c r="E74" s="162"/>
    </row>
    <row r="75" spans="1:5" ht="90">
      <c r="B75" s="1" t="s">
        <v>1045</v>
      </c>
      <c r="E75" s="162"/>
    </row>
    <row r="76" spans="1:5">
      <c r="B76" s="1"/>
      <c r="E76" s="162"/>
    </row>
    <row r="77" spans="1:5">
      <c r="A77" s="23">
        <f>COUNT($A$2:A76)+1</f>
        <v>2</v>
      </c>
      <c r="B77" s="25" t="s">
        <v>1047</v>
      </c>
      <c r="C77" s="29" t="s">
        <v>18</v>
      </c>
      <c r="D77" s="127">
        <v>1</v>
      </c>
      <c r="E77" s="162"/>
    </row>
    <row r="78" spans="1:5" ht="75">
      <c r="B78" s="1" t="s">
        <v>1046</v>
      </c>
      <c r="E78" s="162"/>
    </row>
    <row r="79" spans="1:5">
      <c r="B79" s="1"/>
      <c r="E79" s="162"/>
    </row>
    <row r="80" spans="1:5">
      <c r="A80" s="23">
        <f>COUNT($A$2:A79)+1</f>
        <v>3</v>
      </c>
      <c r="B80" s="25" t="s">
        <v>1048</v>
      </c>
      <c r="C80" s="29" t="s">
        <v>18</v>
      </c>
      <c r="D80" s="127">
        <v>1</v>
      </c>
      <c r="E80" s="162"/>
    </row>
    <row r="81" spans="1:5" ht="90">
      <c r="B81" s="1" t="s">
        <v>1049</v>
      </c>
      <c r="E81" s="162"/>
    </row>
    <row r="82" spans="1:5">
      <c r="B82" s="1"/>
      <c r="E82" s="162"/>
    </row>
    <row r="83" spans="1:5" ht="30">
      <c r="A83" s="23">
        <f>COUNT($A$2:A82)+1</f>
        <v>4</v>
      </c>
      <c r="B83" s="25" t="s">
        <v>1050</v>
      </c>
      <c r="C83" s="29" t="s">
        <v>18</v>
      </c>
      <c r="D83" s="127">
        <v>1</v>
      </c>
      <c r="E83" s="162"/>
    </row>
    <row r="84" spans="1:5" ht="195">
      <c r="B84" s="1" t="s">
        <v>1592</v>
      </c>
      <c r="E84" s="162"/>
    </row>
    <row r="85" spans="1:5">
      <c r="B85" s="1"/>
      <c r="E85" s="162"/>
    </row>
    <row r="86" spans="1:5">
      <c r="A86" s="23">
        <f>COUNT($A$2:A85)+1</f>
        <v>5</v>
      </c>
      <c r="B86" s="25" t="s">
        <v>1051</v>
      </c>
      <c r="C86" s="29" t="s">
        <v>18</v>
      </c>
      <c r="D86" s="127">
        <v>9</v>
      </c>
      <c r="E86" s="162"/>
    </row>
    <row r="87" spans="1:5" ht="90">
      <c r="B87" s="1" t="s">
        <v>1610</v>
      </c>
      <c r="E87" s="162"/>
    </row>
    <row r="88" spans="1:5">
      <c r="B88" s="1"/>
      <c r="E88" s="162"/>
    </row>
    <row r="89" spans="1:5">
      <c r="A89" s="23">
        <f>COUNT($A$2:A88)+1</f>
        <v>6</v>
      </c>
      <c r="B89" s="25" t="s">
        <v>1052</v>
      </c>
      <c r="C89" s="29" t="s">
        <v>18</v>
      </c>
      <c r="D89" s="127">
        <v>2</v>
      </c>
      <c r="E89" s="162"/>
    </row>
    <row r="90" spans="1:5" ht="90">
      <c r="B90" s="1" t="s">
        <v>1611</v>
      </c>
      <c r="E90" s="162"/>
    </row>
    <row r="91" spans="1:5">
      <c r="B91" s="1"/>
      <c r="E91" s="162"/>
    </row>
    <row r="92" spans="1:5">
      <c r="A92" s="23">
        <f>COUNT($A$2:A91)+1</f>
        <v>7</v>
      </c>
      <c r="B92" s="25" t="s">
        <v>1053</v>
      </c>
      <c r="C92" s="29" t="s">
        <v>18</v>
      </c>
      <c r="D92" s="127">
        <v>3</v>
      </c>
      <c r="E92" s="162"/>
    </row>
    <row r="93" spans="1:5" ht="90">
      <c r="B93" s="1" t="s">
        <v>1612</v>
      </c>
      <c r="E93" s="162"/>
    </row>
    <row r="94" spans="1:5">
      <c r="B94" s="1"/>
      <c r="E94" s="162"/>
    </row>
    <row r="95" spans="1:5">
      <c r="A95" s="23">
        <f>COUNT($A$2:A94)+1</f>
        <v>8</v>
      </c>
      <c r="B95" s="25" t="s">
        <v>1054</v>
      </c>
      <c r="C95" s="29" t="s">
        <v>18</v>
      </c>
      <c r="D95" s="127">
        <v>1</v>
      </c>
      <c r="E95" s="162"/>
    </row>
    <row r="96" spans="1:5" ht="150">
      <c r="B96" s="1" t="s">
        <v>1594</v>
      </c>
      <c r="E96" s="162"/>
    </row>
    <row r="97" spans="1:5">
      <c r="B97" s="1"/>
      <c r="E97" s="162"/>
    </row>
    <row r="98" spans="1:5">
      <c r="A98" s="23">
        <f>COUNT($A$2:A97)+1</f>
        <v>9</v>
      </c>
      <c r="B98" s="25" t="s">
        <v>1055</v>
      </c>
      <c r="C98" s="29" t="s">
        <v>18</v>
      </c>
      <c r="D98" s="127">
        <v>3</v>
      </c>
      <c r="E98" s="162"/>
    </row>
    <row r="99" spans="1:5" ht="75">
      <c r="B99" s="1" t="s">
        <v>1056</v>
      </c>
      <c r="E99" s="162"/>
    </row>
    <row r="100" spans="1:5">
      <c r="B100" s="1"/>
      <c r="E100" s="162"/>
    </row>
    <row r="101" spans="1:5">
      <c r="A101" s="23">
        <f>COUNT($A$2:A100)+1</f>
        <v>10</v>
      </c>
      <c r="B101" s="25" t="s">
        <v>1057</v>
      </c>
      <c r="C101" s="29" t="s">
        <v>18</v>
      </c>
      <c r="D101" s="127">
        <v>2</v>
      </c>
      <c r="E101" s="162"/>
    </row>
    <row r="102" spans="1:5" ht="60">
      <c r="B102" s="1" t="s">
        <v>1058</v>
      </c>
      <c r="E102" s="162"/>
    </row>
    <row r="103" spans="1:5">
      <c r="B103" s="1"/>
      <c r="E103" s="162"/>
    </row>
    <row r="104" spans="1:5">
      <c r="A104" s="23">
        <f>COUNT($A$2:A103)+1</f>
        <v>11</v>
      </c>
      <c r="B104" s="25" t="s">
        <v>1059</v>
      </c>
      <c r="C104" s="29" t="s">
        <v>18</v>
      </c>
      <c r="D104" s="127">
        <v>5</v>
      </c>
      <c r="E104" s="162"/>
    </row>
    <row r="105" spans="1:5" ht="75">
      <c r="B105" s="1" t="s">
        <v>1060</v>
      </c>
      <c r="E105" s="162"/>
    </row>
    <row r="106" spans="1:5">
      <c r="B106" s="1"/>
      <c r="E106" s="162"/>
    </row>
    <row r="107" spans="1:5" ht="30">
      <c r="A107" s="23">
        <f>COUNT($A$2:A106)+1</f>
        <v>12</v>
      </c>
      <c r="B107" s="25" t="s">
        <v>1061</v>
      </c>
      <c r="C107" s="29" t="s">
        <v>18</v>
      </c>
      <c r="D107" s="127">
        <v>1</v>
      </c>
      <c r="E107" s="162"/>
    </row>
    <row r="108" spans="1:5" ht="180">
      <c r="B108" s="1" t="s">
        <v>1593</v>
      </c>
      <c r="E108" s="162"/>
    </row>
    <row r="109" spans="1:5">
      <c r="B109" s="1"/>
      <c r="E109" s="162"/>
    </row>
    <row r="110" spans="1:5">
      <c r="A110" s="23">
        <f>COUNT($A$2:A109)+1</f>
        <v>13</v>
      </c>
      <c r="B110" s="25" t="s">
        <v>1062</v>
      </c>
      <c r="C110" s="29" t="s">
        <v>18</v>
      </c>
      <c r="D110" s="127">
        <v>1</v>
      </c>
      <c r="E110" s="162"/>
    </row>
    <row r="111" spans="1:5" ht="60">
      <c r="B111" s="1" t="s">
        <v>1063</v>
      </c>
      <c r="E111" s="162"/>
    </row>
    <row r="112" spans="1:5">
      <c r="B112" s="1"/>
      <c r="E112" s="162"/>
    </row>
    <row r="113" spans="1:5">
      <c r="A113" s="23">
        <f>COUNT($A$2:A112)+1</f>
        <v>14</v>
      </c>
      <c r="B113" s="25" t="s">
        <v>1064</v>
      </c>
      <c r="C113" s="29" t="s">
        <v>18</v>
      </c>
      <c r="D113" s="127">
        <v>3</v>
      </c>
      <c r="E113" s="162"/>
    </row>
    <row r="114" spans="1:5" ht="90">
      <c r="B114" s="1" t="s">
        <v>1613</v>
      </c>
      <c r="E114" s="162"/>
    </row>
    <row r="115" spans="1:5">
      <c r="B115" s="1"/>
      <c r="E115" s="162"/>
    </row>
    <row r="116" spans="1:5">
      <c r="A116" s="23">
        <f>COUNT($A$2:A115)+1</f>
        <v>15</v>
      </c>
      <c r="B116" s="25" t="s">
        <v>1065</v>
      </c>
      <c r="C116" s="29" t="s">
        <v>18</v>
      </c>
      <c r="D116" s="127">
        <v>1</v>
      </c>
      <c r="E116" s="162"/>
    </row>
    <row r="117" spans="1:5" ht="135">
      <c r="B117" s="1" t="s">
        <v>1615</v>
      </c>
      <c r="E117" s="162"/>
    </row>
    <row r="118" spans="1:5">
      <c r="B118" s="1"/>
      <c r="E118" s="162"/>
    </row>
    <row r="119" spans="1:5">
      <c r="A119" s="23">
        <f>COUNT($A$2:A118)+1</f>
        <v>16</v>
      </c>
      <c r="B119" s="25" t="s">
        <v>1066</v>
      </c>
      <c r="C119" s="29" t="s">
        <v>18</v>
      </c>
      <c r="D119" s="127">
        <v>7</v>
      </c>
      <c r="E119" s="162"/>
    </row>
    <row r="120" spans="1:5" ht="90">
      <c r="B120" s="1" t="s">
        <v>1614</v>
      </c>
      <c r="E120" s="162"/>
    </row>
    <row r="121" spans="1:5">
      <c r="B121" s="1"/>
      <c r="E121" s="162"/>
    </row>
    <row r="122" spans="1:5">
      <c r="A122" s="23">
        <f>COUNT($A$2:A121)+1</f>
        <v>17</v>
      </c>
      <c r="B122" s="25" t="s">
        <v>1067</v>
      </c>
      <c r="C122" s="29" t="s">
        <v>18</v>
      </c>
      <c r="D122" s="127">
        <v>1</v>
      </c>
      <c r="E122" s="162"/>
    </row>
    <row r="123" spans="1:5" ht="63" customHeight="1">
      <c r="B123" s="1" t="s">
        <v>1616</v>
      </c>
      <c r="E123" s="162"/>
    </row>
    <row r="124" spans="1:5">
      <c r="B124" s="1"/>
      <c r="E124" s="162"/>
    </row>
    <row r="125" spans="1:5">
      <c r="A125" s="23">
        <f>COUNT($A$2:A124)+1</f>
        <v>18</v>
      </c>
      <c r="B125" s="25" t="s">
        <v>1068</v>
      </c>
      <c r="C125" s="29" t="s">
        <v>18</v>
      </c>
      <c r="D125" s="127">
        <v>1</v>
      </c>
      <c r="E125" s="162"/>
    </row>
    <row r="126" spans="1:5" ht="123.75" customHeight="1">
      <c r="B126" s="1" t="s">
        <v>1617</v>
      </c>
      <c r="E126" s="162"/>
    </row>
    <row r="127" spans="1:5">
      <c r="B127" s="1"/>
      <c r="E127" s="162"/>
    </row>
    <row r="128" spans="1:5">
      <c r="A128" s="23">
        <f>COUNT($A$2:A127)+1</f>
        <v>19</v>
      </c>
      <c r="B128" s="25" t="s">
        <v>1069</v>
      </c>
      <c r="C128" s="29" t="s">
        <v>18</v>
      </c>
      <c r="D128" s="127">
        <v>1</v>
      </c>
      <c r="E128" s="162"/>
    </row>
    <row r="129" spans="1:5" ht="75">
      <c r="B129" s="1" t="s">
        <v>1070</v>
      </c>
      <c r="E129" s="162"/>
    </row>
    <row r="130" spans="1:5">
      <c r="B130" s="1"/>
      <c r="E130" s="162"/>
    </row>
    <row r="131" spans="1:5">
      <c r="B131" s="1"/>
      <c r="E131" s="162"/>
    </row>
    <row r="132" spans="1:5">
      <c r="B132" s="1"/>
      <c r="E132" s="162"/>
    </row>
    <row r="133" spans="1:5">
      <c r="B133" s="1" t="s">
        <v>1091</v>
      </c>
      <c r="E133" s="162"/>
    </row>
    <row r="134" spans="1:5">
      <c r="B134" s="1"/>
      <c r="E134" s="162"/>
    </row>
    <row r="135" spans="1:5">
      <c r="B135" s="1"/>
      <c r="D135" s="554"/>
      <c r="E135" s="162"/>
    </row>
    <row r="136" spans="1:5" ht="30">
      <c r="A136" s="23">
        <f>COUNT($A$2:A135)+1</f>
        <v>20</v>
      </c>
      <c r="B136" s="25" t="s">
        <v>1092</v>
      </c>
      <c r="C136" s="29" t="s">
        <v>18</v>
      </c>
      <c r="D136" s="127">
        <v>2</v>
      </c>
      <c r="E136" s="162"/>
    </row>
    <row r="137" spans="1:5" ht="120">
      <c r="B137" s="1" t="s">
        <v>1093</v>
      </c>
      <c r="E137" s="162"/>
    </row>
    <row r="138" spans="1:5">
      <c r="B138" s="1"/>
      <c r="E138" s="162"/>
    </row>
    <row r="139" spans="1:5" ht="30">
      <c r="A139" s="23">
        <f>COUNT($A$2:A138)+1</f>
        <v>21</v>
      </c>
      <c r="B139" s="25" t="s">
        <v>1094</v>
      </c>
      <c r="C139" s="29" t="s">
        <v>18</v>
      </c>
      <c r="D139" s="127">
        <v>1</v>
      </c>
      <c r="E139" s="162"/>
    </row>
    <row r="140" spans="1:5" ht="120">
      <c r="B140" s="1" t="s">
        <v>1095</v>
      </c>
      <c r="E140" s="162"/>
    </row>
    <row r="141" spans="1:5">
      <c r="B141" s="1"/>
      <c r="E141" s="162"/>
    </row>
    <row r="142" spans="1:5">
      <c r="A142" s="23">
        <f>COUNT($A$2:A141)+1</f>
        <v>22</v>
      </c>
      <c r="B142" s="25" t="s">
        <v>1096</v>
      </c>
      <c r="C142" s="29" t="s">
        <v>18</v>
      </c>
      <c r="D142" s="127">
        <v>1</v>
      </c>
      <c r="E142" s="162"/>
    </row>
    <row r="143" spans="1:5" ht="90">
      <c r="B143" s="1" t="s">
        <v>1097</v>
      </c>
      <c r="E143" s="162"/>
    </row>
    <row r="144" spans="1:5">
      <c r="B144" s="25"/>
      <c r="E144" s="162"/>
    </row>
    <row r="145" spans="1:5">
      <c r="A145" s="23">
        <f>COUNT($A$2:A144)+1</f>
        <v>23</v>
      </c>
      <c r="B145" s="25" t="s">
        <v>1098</v>
      </c>
      <c r="C145" s="29" t="s">
        <v>18</v>
      </c>
      <c r="D145" s="127">
        <v>1</v>
      </c>
      <c r="E145" s="162"/>
    </row>
    <row r="146" spans="1:5" ht="120">
      <c r="B146" s="1" t="s">
        <v>1099</v>
      </c>
      <c r="E146" s="162"/>
    </row>
    <row r="147" spans="1:5">
      <c r="B147" s="1"/>
      <c r="E147" s="162"/>
    </row>
    <row r="148" spans="1:5" ht="30">
      <c r="A148" s="23">
        <f>COUNT($A$2:A147)+1</f>
        <v>24</v>
      </c>
      <c r="B148" s="25" t="s">
        <v>1100</v>
      </c>
      <c r="C148" s="29" t="s">
        <v>18</v>
      </c>
      <c r="D148" s="127">
        <v>1</v>
      </c>
      <c r="E148" s="162"/>
    </row>
    <row r="149" spans="1:5" ht="150">
      <c r="B149" s="1" t="s">
        <v>1590</v>
      </c>
      <c r="E149" s="162"/>
    </row>
    <row r="150" spans="1:5">
      <c r="B150" s="1"/>
      <c r="C150" s="2"/>
      <c r="D150" s="40"/>
      <c r="E150" s="162"/>
    </row>
    <row r="151" spans="1:5" ht="30">
      <c r="A151" s="23">
        <f>COUNT($A$2:A150)+1</f>
        <v>25</v>
      </c>
      <c r="B151" s="25" t="s">
        <v>1101</v>
      </c>
      <c r="C151" s="29" t="s">
        <v>18</v>
      </c>
      <c r="D151" s="127">
        <v>1</v>
      </c>
      <c r="E151" s="162"/>
    </row>
    <row r="152" spans="1:5" ht="120">
      <c r="B152" s="1" t="s">
        <v>1102</v>
      </c>
      <c r="E152" s="162"/>
    </row>
    <row r="153" spans="1:5">
      <c r="B153" s="1"/>
      <c r="C153" s="2"/>
      <c r="D153" s="40"/>
      <c r="E153" s="162"/>
    </row>
    <row r="154" spans="1:5">
      <c r="A154" s="23">
        <f>COUNT($A$2:A153)+1</f>
        <v>26</v>
      </c>
      <c r="B154" s="25" t="s">
        <v>1121</v>
      </c>
      <c r="C154" s="29" t="s">
        <v>18</v>
      </c>
      <c r="D154" s="127">
        <v>1</v>
      </c>
      <c r="E154" s="162"/>
    </row>
    <row r="155" spans="1:5" ht="195">
      <c r="B155" s="1" t="s">
        <v>1122</v>
      </c>
      <c r="E155" s="162"/>
    </row>
    <row r="156" spans="1:5">
      <c r="B156" s="25"/>
      <c r="C156" s="2"/>
      <c r="D156" s="40"/>
      <c r="E156" s="162"/>
    </row>
    <row r="157" spans="1:5">
      <c r="A157" s="23">
        <f>COUNT($A$2:A156)+1</f>
        <v>27</v>
      </c>
      <c r="B157" s="25" t="s">
        <v>1119</v>
      </c>
      <c r="C157" s="29" t="s">
        <v>18</v>
      </c>
      <c r="D157" s="127">
        <v>1</v>
      </c>
      <c r="E157" s="162"/>
    </row>
    <row r="158" spans="1:5" ht="105">
      <c r="B158" s="1" t="s">
        <v>1120</v>
      </c>
      <c r="E158" s="162"/>
    </row>
    <row r="159" spans="1:5" ht="17.25" customHeight="1">
      <c r="B159" s="32"/>
      <c r="C159" s="2"/>
      <c r="D159" s="40"/>
      <c r="E159" s="162"/>
    </row>
    <row r="160" spans="1:5">
      <c r="B160" s="32"/>
      <c r="C160" s="2"/>
      <c r="D160" s="40"/>
      <c r="E160" s="162"/>
    </row>
    <row r="161" spans="1:5">
      <c r="B161" s="32"/>
      <c r="C161" s="2"/>
      <c r="D161" s="40"/>
      <c r="E161" s="162"/>
    </row>
    <row r="162" spans="1:5">
      <c r="B162" s="1" t="s">
        <v>1103</v>
      </c>
      <c r="E162" s="162"/>
    </row>
    <row r="163" spans="1:5">
      <c r="B163" s="1"/>
      <c r="E163" s="162"/>
    </row>
    <row r="164" spans="1:5">
      <c r="B164" s="1" t="s">
        <v>205</v>
      </c>
      <c r="E164" s="162"/>
    </row>
    <row r="165" spans="1:5" ht="30">
      <c r="B165" s="1" t="s">
        <v>206</v>
      </c>
      <c r="E165" s="162"/>
    </row>
    <row r="166" spans="1:5" ht="30">
      <c r="B166" s="1" t="s">
        <v>207</v>
      </c>
      <c r="E166" s="162"/>
    </row>
    <row r="167" spans="1:5" ht="105">
      <c r="B167" s="1" t="s">
        <v>1071</v>
      </c>
      <c r="E167" s="162"/>
    </row>
    <row r="168" spans="1:5" ht="30">
      <c r="B168" s="1" t="s">
        <v>1072</v>
      </c>
      <c r="E168" s="162"/>
    </row>
    <row r="169" spans="1:5">
      <c r="B169" s="1"/>
      <c r="E169" s="162"/>
    </row>
    <row r="170" spans="1:5" ht="30">
      <c r="A170" s="23">
        <f>COUNT($A$2:A169)+1</f>
        <v>28</v>
      </c>
      <c r="B170" s="25" t="s">
        <v>1073</v>
      </c>
      <c r="C170" s="29" t="s">
        <v>18</v>
      </c>
      <c r="D170" s="127">
        <v>4</v>
      </c>
      <c r="E170" s="162"/>
    </row>
    <row r="171" spans="1:5" ht="60">
      <c r="B171" s="1" t="s">
        <v>1074</v>
      </c>
      <c r="E171" s="162"/>
    </row>
    <row r="172" spans="1:5">
      <c r="B172" s="1"/>
      <c r="E172" s="162"/>
    </row>
    <row r="173" spans="1:5" ht="30">
      <c r="A173" s="23">
        <f>COUNT($A$2:A172)+1</f>
        <v>29</v>
      </c>
      <c r="B173" s="25" t="s">
        <v>1073</v>
      </c>
      <c r="C173" s="29" t="s">
        <v>18</v>
      </c>
      <c r="D173" s="127">
        <v>1</v>
      </c>
      <c r="E173" s="162"/>
    </row>
    <row r="174" spans="1:5" ht="90">
      <c r="B174" s="1" t="s">
        <v>1591</v>
      </c>
      <c r="E174" s="162"/>
    </row>
    <row r="175" spans="1:5">
      <c r="B175" s="1"/>
      <c r="E175" s="162"/>
    </row>
    <row r="176" spans="1:5">
      <c r="B176" s="1"/>
      <c r="E176" s="162"/>
    </row>
    <row r="177" spans="1:5" ht="30">
      <c r="A177" s="23">
        <f>COUNT($A$2:A176)+1</f>
        <v>30</v>
      </c>
      <c r="B177" s="25" t="s">
        <v>1075</v>
      </c>
      <c r="C177" s="29" t="s">
        <v>18</v>
      </c>
      <c r="D177" s="127">
        <v>2</v>
      </c>
      <c r="E177" s="162"/>
    </row>
    <row r="178" spans="1:5" ht="60">
      <c r="B178" s="1" t="s">
        <v>1076</v>
      </c>
      <c r="E178" s="162"/>
    </row>
    <row r="179" spans="1:5">
      <c r="B179" s="1"/>
      <c r="E179" s="162"/>
    </row>
    <row r="180" spans="1:5" ht="30">
      <c r="A180" s="23">
        <f>COUNT($A$2:A179)+1</f>
        <v>31</v>
      </c>
      <c r="B180" s="25" t="s">
        <v>1077</v>
      </c>
      <c r="C180" s="29" t="s">
        <v>18</v>
      </c>
      <c r="D180" s="127">
        <v>1</v>
      </c>
      <c r="E180" s="162"/>
    </row>
    <row r="181" spans="1:5" ht="60">
      <c r="B181" s="1" t="s">
        <v>1079</v>
      </c>
      <c r="E181" s="162"/>
    </row>
    <row r="182" spans="1:5">
      <c r="B182" s="1"/>
      <c r="E182" s="162"/>
    </row>
    <row r="183" spans="1:5" ht="30">
      <c r="A183" s="23">
        <f>COUNT($A$2:A182)+1</f>
        <v>32</v>
      </c>
      <c r="B183" s="25" t="s">
        <v>1080</v>
      </c>
      <c r="C183" s="29" t="s">
        <v>18</v>
      </c>
      <c r="D183" s="127">
        <v>1</v>
      </c>
      <c r="E183" s="162"/>
    </row>
    <row r="184" spans="1:5" ht="60">
      <c r="B184" s="1" t="s">
        <v>1078</v>
      </c>
      <c r="E184" s="162"/>
    </row>
    <row r="185" spans="1:5">
      <c r="B185" s="1"/>
      <c r="E185" s="162"/>
    </row>
    <row r="186" spans="1:5" ht="30">
      <c r="A186" s="23">
        <f>COUNT($A$2:A185)+1</f>
        <v>33</v>
      </c>
      <c r="B186" s="25" t="s">
        <v>1081</v>
      </c>
      <c r="C186" s="29" t="s">
        <v>18</v>
      </c>
      <c r="D186" s="127">
        <v>1</v>
      </c>
      <c r="E186" s="162"/>
    </row>
    <row r="187" spans="1:5" ht="105">
      <c r="B187" s="1" t="s">
        <v>1082</v>
      </c>
      <c r="E187" s="162"/>
    </row>
    <row r="188" spans="1:5">
      <c r="B188" s="1"/>
      <c r="E188" s="162"/>
    </row>
    <row r="189" spans="1:5">
      <c r="A189" s="23">
        <f>COUNT($A$2:A188)+1</f>
        <v>34</v>
      </c>
      <c r="B189" s="25" t="s">
        <v>1618</v>
      </c>
      <c r="C189" s="29" t="s">
        <v>18</v>
      </c>
      <c r="D189" s="127">
        <v>1</v>
      </c>
      <c r="E189" s="162"/>
    </row>
    <row r="190" spans="1:5" ht="105">
      <c r="B190" s="1" t="s">
        <v>1619</v>
      </c>
      <c r="E190" s="162"/>
    </row>
    <row r="191" spans="1:5">
      <c r="B191" s="1"/>
      <c r="E191" s="162"/>
    </row>
    <row r="192" spans="1:5">
      <c r="A192" s="23">
        <f>COUNT($A$2:A191)+1</f>
        <v>35</v>
      </c>
      <c r="B192" s="25" t="s">
        <v>1083</v>
      </c>
      <c r="C192" s="29" t="s">
        <v>18</v>
      </c>
      <c r="D192" s="127">
        <v>5</v>
      </c>
      <c r="E192" s="162"/>
    </row>
    <row r="193" spans="1:5" ht="90">
      <c r="B193" s="1" t="s">
        <v>1084</v>
      </c>
      <c r="E193" s="162"/>
    </row>
    <row r="194" spans="1:5">
      <c r="B194" s="1"/>
      <c r="C194" s="2"/>
      <c r="D194" s="40"/>
      <c r="E194" s="162"/>
    </row>
    <row r="195" spans="1:5">
      <c r="B195" s="1"/>
      <c r="C195" s="2"/>
      <c r="D195" s="40"/>
      <c r="E195" s="162"/>
    </row>
    <row r="196" spans="1:5">
      <c r="B196" s="25"/>
      <c r="C196" s="2"/>
      <c r="D196" s="40"/>
      <c r="E196" s="162"/>
    </row>
    <row r="197" spans="1:5">
      <c r="B197" s="1" t="s">
        <v>1089</v>
      </c>
      <c r="E197" s="162"/>
    </row>
    <row r="198" spans="1:5">
      <c r="B198" s="1"/>
      <c r="E198" s="162"/>
    </row>
    <row r="199" spans="1:5">
      <c r="B199" s="1" t="s">
        <v>208</v>
      </c>
      <c r="E199" s="162"/>
    </row>
    <row r="200" spans="1:5" ht="30">
      <c r="B200" s="1" t="s">
        <v>1085</v>
      </c>
      <c r="E200" s="162"/>
    </row>
    <row r="201" spans="1:5" ht="30">
      <c r="B201" s="1" t="s">
        <v>209</v>
      </c>
      <c r="E201" s="162"/>
    </row>
    <row r="202" spans="1:5">
      <c r="B202" s="1"/>
      <c r="E202" s="162"/>
    </row>
    <row r="203" spans="1:5">
      <c r="A203" s="23">
        <f>COUNT($A$2:A202)+1</f>
        <v>36</v>
      </c>
      <c r="B203" s="25" t="s">
        <v>1647</v>
      </c>
      <c r="C203" s="29" t="s">
        <v>21</v>
      </c>
      <c r="D203" s="127">
        <v>100</v>
      </c>
      <c r="E203" s="162"/>
    </row>
    <row r="204" spans="1:5" ht="45">
      <c r="B204" s="1" t="s">
        <v>1646</v>
      </c>
      <c r="E204" s="162"/>
    </row>
    <row r="205" spans="1:5">
      <c r="B205" s="1"/>
      <c r="E205" s="162"/>
    </row>
    <row r="206" spans="1:5">
      <c r="A206" s="23">
        <f>COUNT($A$2:A205)+1</f>
        <v>37</v>
      </c>
      <c r="B206" s="25" t="s">
        <v>1087</v>
      </c>
      <c r="C206" s="29" t="s">
        <v>130</v>
      </c>
      <c r="D206" s="127">
        <v>3.5</v>
      </c>
      <c r="E206" s="162"/>
    </row>
    <row r="207" spans="1:5" ht="105">
      <c r="B207" s="1" t="s">
        <v>1086</v>
      </c>
      <c r="E207" s="162"/>
    </row>
    <row r="208" spans="1:5">
      <c r="B208" s="1"/>
      <c r="E208" s="162"/>
    </row>
    <row r="209" spans="1:6">
      <c r="A209" s="23">
        <f>COUNT($A$2:A208)+1</f>
        <v>38</v>
      </c>
      <c r="B209" s="25" t="s">
        <v>1087</v>
      </c>
      <c r="C209" s="29" t="s">
        <v>130</v>
      </c>
      <c r="D209" s="127">
        <v>4</v>
      </c>
      <c r="E209" s="162"/>
    </row>
    <row r="210" spans="1:6" ht="105">
      <c r="B210" s="1" t="s">
        <v>1088</v>
      </c>
      <c r="E210" s="162"/>
    </row>
    <row r="211" spans="1:6">
      <c r="B211" s="32"/>
      <c r="C211" s="2"/>
      <c r="D211" s="40"/>
      <c r="E211" s="162"/>
    </row>
    <row r="212" spans="1:6" ht="30">
      <c r="A212" s="23">
        <f>COUNT($A$5:A211)+1</f>
        <v>39</v>
      </c>
      <c r="B212" s="294" t="s">
        <v>3386</v>
      </c>
      <c r="D212" s="40"/>
      <c r="E212" s="182"/>
      <c r="F212" s="183"/>
    </row>
    <row r="213" spans="1:6" ht="120">
      <c r="B213" s="1" t="s">
        <v>1661</v>
      </c>
      <c r="D213" s="40"/>
      <c r="E213" s="182"/>
      <c r="F213" s="183"/>
    </row>
    <row r="214" spans="1:6" ht="45">
      <c r="B214" s="1" t="s">
        <v>1659</v>
      </c>
      <c r="D214" s="40"/>
      <c r="E214" s="182"/>
      <c r="F214" s="183"/>
    </row>
    <row r="215" spans="1:6">
      <c r="B215" s="24" t="s">
        <v>1660</v>
      </c>
      <c r="C215" s="29" t="s">
        <v>18</v>
      </c>
      <c r="D215" s="40">
        <v>5</v>
      </c>
      <c r="E215" s="183"/>
    </row>
    <row r="216" spans="1:6">
      <c r="D216" s="40"/>
      <c r="E216" s="183"/>
      <c r="F216" s="183"/>
    </row>
    <row r="217" spans="1:6">
      <c r="B217" s="32"/>
      <c r="C217" s="2"/>
      <c r="D217" s="40"/>
      <c r="E217" s="162"/>
    </row>
    <row r="218" spans="1:6">
      <c r="B218" s="127"/>
      <c r="C218" s="2"/>
      <c r="D218" s="40"/>
      <c r="E218" s="162"/>
    </row>
    <row r="219" spans="1:6">
      <c r="B219" s="1"/>
      <c r="C219" s="2"/>
      <c r="D219" s="40"/>
      <c r="E219" s="162"/>
    </row>
    <row r="220" spans="1:6">
      <c r="B220" s="1"/>
      <c r="C220" s="2"/>
      <c r="D220" s="40"/>
      <c r="E220" s="162"/>
    </row>
    <row r="222" spans="1:6">
      <c r="A222" s="172" t="s">
        <v>22</v>
      </c>
      <c r="B222" s="173" t="s">
        <v>212</v>
      </c>
      <c r="C222" s="174"/>
      <c r="D222" s="202"/>
      <c r="E222" s="176"/>
      <c r="F222" s="177"/>
    </row>
  </sheetData>
  <pageMargins left="0.7" right="0.7" top="0.765625" bottom="0.75" header="0.3" footer="0.3"/>
  <pageSetup paperSize="9" scale="75"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13.xml><?xml version="1.0" encoding="utf-8"?>
<worksheet xmlns="http://schemas.openxmlformats.org/spreadsheetml/2006/main" xmlns:r="http://schemas.openxmlformats.org/officeDocument/2006/relationships">
  <sheetPr>
    <tabColor rgb="FF0070C0"/>
  </sheetPr>
  <dimension ref="A1:J208"/>
  <sheetViews>
    <sheetView showZeros="0" view="pageBreakPreview" zoomScale="90" zoomScaleNormal="100" zoomScaleSheetLayoutView="90" workbookViewId="0">
      <selection activeCell="E2" sqref="E2:F208"/>
    </sheetView>
  </sheetViews>
  <sheetFormatPr defaultColWidth="9.140625" defaultRowHeight="15"/>
  <cols>
    <col min="1" max="1" width="8.7109375" style="23" customWidth="1"/>
    <col min="2" max="2" width="44.85546875" style="24" customWidth="1"/>
    <col min="3" max="3" width="8.5703125" style="29" customWidth="1"/>
    <col min="4" max="4" width="10.5703125" style="40" customWidth="1"/>
    <col min="5" max="5" width="13.7109375" style="183" customWidth="1"/>
    <col min="6" max="6" width="16.7109375" style="183" customWidth="1"/>
    <col min="7" max="16384" width="9.140625" style="2"/>
  </cols>
  <sheetData>
    <row r="1" spans="1:6">
      <c r="A1" s="118" t="s">
        <v>260</v>
      </c>
      <c r="B1" s="107" t="s">
        <v>261</v>
      </c>
      <c r="C1" s="64" t="s">
        <v>262</v>
      </c>
      <c r="D1" s="114" t="s">
        <v>263</v>
      </c>
      <c r="E1" s="186" t="s">
        <v>264</v>
      </c>
      <c r="F1" s="187" t="s">
        <v>265</v>
      </c>
    </row>
    <row r="3" spans="1:6">
      <c r="A3" s="17" t="s">
        <v>245</v>
      </c>
      <c r="B3" s="25" t="s">
        <v>732</v>
      </c>
      <c r="E3" s="182"/>
    </row>
    <row r="4" spans="1:6">
      <c r="B4" s="1"/>
      <c r="E4" s="182"/>
    </row>
    <row r="5" spans="1:6">
      <c r="B5" s="1"/>
      <c r="E5" s="182"/>
    </row>
    <row r="6" spans="1:6">
      <c r="B6" s="1" t="s">
        <v>1030</v>
      </c>
      <c r="E6" s="182"/>
    </row>
    <row r="7" spans="1:6">
      <c r="B7" s="1"/>
      <c r="E7" s="182"/>
    </row>
    <row r="8" spans="1:6">
      <c r="B8" s="1" t="s">
        <v>733</v>
      </c>
      <c r="E8" s="182"/>
    </row>
    <row r="9" spans="1:6" ht="75">
      <c r="B9" s="1" t="s">
        <v>998</v>
      </c>
      <c r="E9" s="182"/>
    </row>
    <row r="10" spans="1:6" ht="30">
      <c r="B10" s="1" t="s">
        <v>734</v>
      </c>
      <c r="E10" s="182"/>
    </row>
    <row r="11" spans="1:6">
      <c r="B11" s="1"/>
      <c r="E11" s="182"/>
    </row>
    <row r="12" spans="1:6" ht="120">
      <c r="B12" s="1" t="s">
        <v>1031</v>
      </c>
      <c r="E12" s="182"/>
    </row>
    <row r="13" spans="1:6">
      <c r="B13" s="1"/>
      <c r="E13" s="182"/>
    </row>
    <row r="14" spans="1:6">
      <c r="B14" s="1"/>
      <c r="E14" s="182"/>
    </row>
    <row r="15" spans="1:6">
      <c r="B15" s="1" t="s">
        <v>1026</v>
      </c>
      <c r="E15" s="182"/>
    </row>
    <row r="16" spans="1:6">
      <c r="B16" s="1"/>
      <c r="E16" s="182"/>
    </row>
    <row r="17" spans="2:6" ht="45">
      <c r="B17" s="1" t="s">
        <v>999</v>
      </c>
      <c r="E17" s="182"/>
    </row>
    <row r="18" spans="2:6" ht="30">
      <c r="B18" s="1" t="s">
        <v>735</v>
      </c>
      <c r="E18" s="182"/>
    </row>
    <row r="19" spans="2:6" ht="60">
      <c r="B19" s="1" t="s">
        <v>736</v>
      </c>
      <c r="E19" s="182"/>
    </row>
    <row r="20" spans="2:6" ht="60">
      <c r="B20" s="1" t="s">
        <v>737</v>
      </c>
      <c r="E20" s="182"/>
    </row>
    <row r="21" spans="2:6" ht="30">
      <c r="B21" s="1" t="s">
        <v>738</v>
      </c>
      <c r="E21" s="182"/>
    </row>
    <row r="22" spans="2:6">
      <c r="B22" s="1" t="s">
        <v>739</v>
      </c>
      <c r="E22" s="182"/>
    </row>
    <row r="23" spans="2:6">
      <c r="B23" s="1" t="s">
        <v>740</v>
      </c>
      <c r="E23" s="182"/>
    </row>
    <row r="24" spans="2:6" ht="30">
      <c r="B24" s="1" t="s">
        <v>741</v>
      </c>
      <c r="E24" s="182"/>
    </row>
    <row r="25" spans="2:6" ht="45">
      <c r="B25" s="1" t="s">
        <v>742</v>
      </c>
      <c r="E25" s="182"/>
    </row>
    <row r="26" spans="2:6">
      <c r="B26" s="1" t="s">
        <v>743</v>
      </c>
      <c r="E26" s="182"/>
    </row>
    <row r="27" spans="2:6" ht="30">
      <c r="B27" s="1" t="s">
        <v>734</v>
      </c>
      <c r="E27" s="182"/>
    </row>
    <row r="28" spans="2:6">
      <c r="B28" s="1"/>
      <c r="E28" s="182"/>
    </row>
    <row r="29" spans="2:6">
      <c r="B29" s="1" t="s">
        <v>1595</v>
      </c>
      <c r="D29" s="127"/>
      <c r="E29" s="162"/>
      <c r="F29" s="163"/>
    </row>
    <row r="30" spans="2:6" ht="30">
      <c r="B30" s="1" t="s">
        <v>192</v>
      </c>
      <c r="D30" s="127"/>
      <c r="E30" s="162"/>
      <c r="F30" s="163"/>
    </row>
    <row r="31" spans="2:6" ht="45">
      <c r="B31" s="1" t="s">
        <v>1597</v>
      </c>
      <c r="D31" s="127"/>
      <c r="E31" s="162"/>
      <c r="F31" s="163"/>
    </row>
    <row r="32" spans="2:6">
      <c r="B32" s="546" t="s">
        <v>3375</v>
      </c>
      <c r="D32" s="127"/>
      <c r="E32" s="162"/>
      <c r="F32" s="163"/>
    </row>
    <row r="33" spans="1:6">
      <c r="B33" s="546" t="s">
        <v>3376</v>
      </c>
      <c r="D33" s="127"/>
      <c r="E33" s="162"/>
      <c r="F33" s="163"/>
    </row>
    <row r="34" spans="1:6">
      <c r="B34" s="1"/>
      <c r="E34" s="182"/>
    </row>
    <row r="35" spans="1:6" ht="30">
      <c r="B35" s="1" t="s">
        <v>744</v>
      </c>
      <c r="E35" s="182"/>
    </row>
    <row r="36" spans="1:6" ht="105">
      <c r="B36" s="1" t="s">
        <v>1028</v>
      </c>
      <c r="E36" s="182"/>
    </row>
    <row r="37" spans="1:6" ht="75">
      <c r="B37" s="1" t="s">
        <v>745</v>
      </c>
      <c r="E37" s="182"/>
    </row>
    <row r="38" spans="1:6" ht="45">
      <c r="B38" s="5" t="s">
        <v>198</v>
      </c>
      <c r="D38" s="127"/>
      <c r="E38" s="162"/>
      <c r="F38" s="163"/>
    </row>
    <row r="39" spans="1:6">
      <c r="B39" s="2"/>
      <c r="F39" s="184"/>
    </row>
    <row r="40" spans="1:6">
      <c r="B40" s="1"/>
      <c r="E40" s="182"/>
    </row>
    <row r="41" spans="1:6" ht="30">
      <c r="A41" s="23">
        <f>COUNT($A$36:A40)+1</f>
        <v>1</v>
      </c>
      <c r="B41" s="25" t="s">
        <v>748</v>
      </c>
      <c r="E41" s="182"/>
    </row>
    <row r="42" spans="1:6" ht="75">
      <c r="B42" s="1" t="s">
        <v>1001</v>
      </c>
      <c r="E42" s="182"/>
    </row>
    <row r="43" spans="1:6">
      <c r="B43" s="1" t="s">
        <v>749</v>
      </c>
      <c r="E43" s="182"/>
    </row>
    <row r="44" spans="1:6">
      <c r="B44" s="24" t="s">
        <v>746</v>
      </c>
      <c r="C44" s="29" t="s">
        <v>18</v>
      </c>
      <c r="D44" s="40">
        <v>7</v>
      </c>
      <c r="E44" s="182"/>
    </row>
    <row r="45" spans="1:6">
      <c r="B45" s="1"/>
      <c r="E45" s="182"/>
    </row>
    <row r="46" spans="1:6" ht="30">
      <c r="A46" s="23">
        <f>COUNT($A$36:A45)+1</f>
        <v>2</v>
      </c>
      <c r="B46" s="25" t="s">
        <v>1000</v>
      </c>
      <c r="E46" s="182"/>
    </row>
    <row r="47" spans="1:6" ht="75">
      <c r="B47" s="1" t="s">
        <v>1002</v>
      </c>
      <c r="E47" s="182"/>
    </row>
    <row r="48" spans="1:6">
      <c r="B48" s="1" t="s">
        <v>749</v>
      </c>
      <c r="E48" s="182"/>
    </row>
    <row r="49" spans="1:5">
      <c r="B49" s="24" t="s">
        <v>746</v>
      </c>
      <c r="C49" s="29" t="s">
        <v>18</v>
      </c>
      <c r="D49" s="40">
        <v>11</v>
      </c>
      <c r="E49" s="182"/>
    </row>
    <row r="50" spans="1:5">
      <c r="B50" s="1"/>
      <c r="E50" s="182"/>
    </row>
    <row r="51" spans="1:5" ht="30">
      <c r="A51" s="23">
        <f>COUNT($A$36:A50)+1</f>
        <v>3</v>
      </c>
      <c r="B51" s="25" t="s">
        <v>1003</v>
      </c>
      <c r="E51" s="182"/>
    </row>
    <row r="52" spans="1:5" ht="60">
      <c r="B52" s="1" t="s">
        <v>1004</v>
      </c>
      <c r="E52" s="182"/>
    </row>
    <row r="53" spans="1:5">
      <c r="B53" s="1" t="s">
        <v>749</v>
      </c>
      <c r="E53" s="182"/>
    </row>
    <row r="54" spans="1:5">
      <c r="B54" s="24" t="s">
        <v>746</v>
      </c>
      <c r="C54" s="29" t="s">
        <v>18</v>
      </c>
      <c r="D54" s="40">
        <v>1</v>
      </c>
      <c r="E54" s="182"/>
    </row>
    <row r="55" spans="1:5">
      <c r="B55" s="1"/>
      <c r="E55" s="182"/>
    </row>
    <row r="56" spans="1:5" ht="30">
      <c r="A56" s="23">
        <f>COUNT($A$36:A55)+1</f>
        <v>4</v>
      </c>
      <c r="B56" s="25" t="s">
        <v>750</v>
      </c>
      <c r="E56" s="182"/>
    </row>
    <row r="57" spans="1:5" ht="75">
      <c r="B57" s="1" t="s">
        <v>1005</v>
      </c>
      <c r="E57" s="182"/>
    </row>
    <row r="58" spans="1:5">
      <c r="B58" s="1" t="s">
        <v>1006</v>
      </c>
      <c r="E58" s="182"/>
    </row>
    <row r="59" spans="1:5">
      <c r="B59" s="24" t="s">
        <v>746</v>
      </c>
      <c r="C59" s="29" t="s">
        <v>18</v>
      </c>
      <c r="D59" s="40">
        <v>1</v>
      </c>
      <c r="E59" s="182"/>
    </row>
    <row r="60" spans="1:5">
      <c r="B60" s="1"/>
      <c r="E60" s="182"/>
    </row>
    <row r="61" spans="1:5" ht="30">
      <c r="A61" s="23">
        <f>COUNT($A$36:A60)+1</f>
        <v>5</v>
      </c>
      <c r="B61" s="25" t="s">
        <v>751</v>
      </c>
      <c r="E61" s="182"/>
    </row>
    <row r="62" spans="1:5" ht="60">
      <c r="B62" s="1" t="s">
        <v>1007</v>
      </c>
      <c r="E62" s="182"/>
    </row>
    <row r="63" spans="1:5">
      <c r="B63" s="1" t="s">
        <v>747</v>
      </c>
      <c r="E63" s="182"/>
    </row>
    <row r="64" spans="1:5">
      <c r="B64" s="24" t="s">
        <v>746</v>
      </c>
      <c r="C64" s="29" t="s">
        <v>18</v>
      </c>
      <c r="D64" s="40">
        <v>3</v>
      </c>
      <c r="E64" s="182"/>
    </row>
    <row r="65" spans="1:5">
      <c r="B65" s="1"/>
      <c r="E65" s="182"/>
    </row>
    <row r="66" spans="1:5" ht="30">
      <c r="A66" s="23">
        <f>COUNT($A$36:A65)+1</f>
        <v>6</v>
      </c>
      <c r="B66" s="25" t="s">
        <v>1008</v>
      </c>
      <c r="E66" s="182"/>
    </row>
    <row r="67" spans="1:5" ht="75">
      <c r="B67" s="1" t="s">
        <v>1009</v>
      </c>
      <c r="E67" s="182"/>
    </row>
    <row r="68" spans="1:5">
      <c r="B68" s="1" t="s">
        <v>747</v>
      </c>
      <c r="E68" s="182"/>
    </row>
    <row r="69" spans="1:5">
      <c r="B69" s="24" t="s">
        <v>746</v>
      </c>
      <c r="C69" s="29" t="s">
        <v>18</v>
      </c>
      <c r="D69" s="40">
        <v>2</v>
      </c>
      <c r="E69" s="182"/>
    </row>
    <row r="70" spans="1:5">
      <c r="B70" s="1"/>
      <c r="E70" s="182"/>
    </row>
    <row r="71" spans="1:5" ht="30">
      <c r="A71" s="23">
        <f>COUNT($A$36:A45)+1</f>
        <v>2</v>
      </c>
      <c r="B71" s="25" t="s">
        <v>1010</v>
      </c>
      <c r="E71" s="182"/>
    </row>
    <row r="72" spans="1:5" ht="60">
      <c r="B72" s="1" t="s">
        <v>1013</v>
      </c>
      <c r="E72" s="182"/>
    </row>
    <row r="73" spans="1:5" ht="30">
      <c r="B73" s="1" t="s">
        <v>1011</v>
      </c>
      <c r="E73" s="182"/>
    </row>
    <row r="74" spans="1:5">
      <c r="B74" s="24" t="s">
        <v>746</v>
      </c>
      <c r="C74" s="29" t="s">
        <v>18</v>
      </c>
      <c r="D74" s="40">
        <v>1</v>
      </c>
      <c r="E74" s="182"/>
    </row>
    <row r="75" spans="1:5">
      <c r="E75" s="182"/>
    </row>
    <row r="76" spans="1:5" ht="30">
      <c r="A76" s="23">
        <f>COUNT($A$36:A75)+1</f>
        <v>8</v>
      </c>
      <c r="B76" s="25" t="s">
        <v>752</v>
      </c>
      <c r="E76" s="182"/>
    </row>
    <row r="77" spans="1:5" ht="60">
      <c r="B77" s="1" t="s">
        <v>1012</v>
      </c>
      <c r="E77" s="182"/>
    </row>
    <row r="78" spans="1:5">
      <c r="B78" s="1" t="s">
        <v>1017</v>
      </c>
      <c r="E78" s="182"/>
    </row>
    <row r="79" spans="1:5">
      <c r="B79" s="24" t="s">
        <v>746</v>
      </c>
      <c r="C79" s="29" t="s">
        <v>18</v>
      </c>
      <c r="D79" s="40">
        <v>1</v>
      </c>
      <c r="E79" s="182"/>
    </row>
    <row r="80" spans="1:5">
      <c r="E80" s="182"/>
    </row>
    <row r="81" spans="1:5" ht="30">
      <c r="A81" s="23">
        <f>COUNT($A$36:A80)+1</f>
        <v>9</v>
      </c>
      <c r="B81" s="25" t="s">
        <v>753</v>
      </c>
      <c r="E81" s="182"/>
    </row>
    <row r="82" spans="1:5" ht="75">
      <c r="B82" s="1" t="s">
        <v>1014</v>
      </c>
      <c r="E82" s="182"/>
    </row>
    <row r="83" spans="1:5">
      <c r="B83" s="1" t="s">
        <v>1006</v>
      </c>
      <c r="E83" s="182"/>
    </row>
    <row r="84" spans="1:5">
      <c r="B84" s="24" t="s">
        <v>746</v>
      </c>
      <c r="C84" s="29" t="s">
        <v>18</v>
      </c>
      <c r="D84" s="40">
        <v>2</v>
      </c>
      <c r="E84" s="182"/>
    </row>
    <row r="85" spans="1:5">
      <c r="B85" s="1"/>
      <c r="E85" s="182"/>
    </row>
    <row r="86" spans="1:5" ht="30">
      <c r="A86" s="23">
        <f>COUNT($A$36:A85)+1</f>
        <v>10</v>
      </c>
      <c r="B86" s="25" t="s">
        <v>754</v>
      </c>
      <c r="E86" s="182"/>
    </row>
    <row r="87" spans="1:5" ht="45">
      <c r="B87" s="1" t="s">
        <v>1015</v>
      </c>
      <c r="E87" s="182"/>
    </row>
    <row r="88" spans="1:5">
      <c r="B88" s="1" t="s">
        <v>1016</v>
      </c>
      <c r="E88" s="182"/>
    </row>
    <row r="89" spans="1:5">
      <c r="B89" s="24" t="s">
        <v>746</v>
      </c>
      <c r="C89" s="29" t="s">
        <v>18</v>
      </c>
      <c r="D89" s="40">
        <v>1</v>
      </c>
      <c r="E89" s="182"/>
    </row>
    <row r="90" spans="1:5">
      <c r="B90" s="1"/>
      <c r="E90" s="182"/>
    </row>
    <row r="91" spans="1:5" ht="30">
      <c r="A91" s="23">
        <f>COUNT($A$36:A90)+1</f>
        <v>11</v>
      </c>
      <c r="B91" s="25" t="s">
        <v>755</v>
      </c>
      <c r="E91" s="182"/>
    </row>
    <row r="92" spans="1:5" ht="60">
      <c r="B92" s="1" t="s">
        <v>1018</v>
      </c>
      <c r="E92" s="182"/>
    </row>
    <row r="93" spans="1:5">
      <c r="B93" s="1" t="s">
        <v>1019</v>
      </c>
      <c r="E93" s="182"/>
    </row>
    <row r="94" spans="1:5">
      <c r="B94" s="24" t="s">
        <v>746</v>
      </c>
      <c r="C94" s="29" t="s">
        <v>18</v>
      </c>
      <c r="D94" s="40">
        <v>2</v>
      </c>
      <c r="E94" s="182"/>
    </row>
    <row r="95" spans="1:5">
      <c r="B95" s="1"/>
      <c r="E95" s="182"/>
    </row>
    <row r="96" spans="1:5" ht="30">
      <c r="A96" s="23">
        <f>COUNT($A$36:A95)+1</f>
        <v>12</v>
      </c>
      <c r="B96" s="25" t="s">
        <v>756</v>
      </c>
      <c r="E96" s="182"/>
    </row>
    <row r="97" spans="1:5" ht="60">
      <c r="B97" s="1" t="s">
        <v>1020</v>
      </c>
      <c r="E97" s="182"/>
    </row>
    <row r="98" spans="1:5">
      <c r="B98" s="1" t="s">
        <v>1019</v>
      </c>
      <c r="E98" s="182"/>
    </row>
    <row r="99" spans="1:5">
      <c r="B99" s="24" t="s">
        <v>746</v>
      </c>
      <c r="C99" s="29" t="s">
        <v>18</v>
      </c>
      <c r="D99" s="40">
        <v>1</v>
      </c>
      <c r="E99" s="182"/>
    </row>
    <row r="100" spans="1:5">
      <c r="B100" s="1"/>
      <c r="E100" s="182"/>
    </row>
    <row r="101" spans="1:5" ht="30">
      <c r="A101" s="23">
        <f>COUNT($A$36:A100)+1</f>
        <v>13</v>
      </c>
      <c r="B101" s="25" t="s">
        <v>1021</v>
      </c>
      <c r="E101" s="182"/>
    </row>
    <row r="102" spans="1:5" ht="60">
      <c r="B102" s="1" t="s">
        <v>1022</v>
      </c>
      <c r="E102" s="182"/>
    </row>
    <row r="103" spans="1:5">
      <c r="B103" s="1" t="s">
        <v>1019</v>
      </c>
      <c r="E103" s="182"/>
    </row>
    <row r="104" spans="1:5">
      <c r="B104" s="24" t="s">
        <v>746</v>
      </c>
      <c r="C104" s="29" t="s">
        <v>18</v>
      </c>
      <c r="D104" s="40">
        <v>1</v>
      </c>
      <c r="E104" s="182"/>
    </row>
    <row r="105" spans="1:5">
      <c r="E105" s="182"/>
    </row>
    <row r="106" spans="1:5">
      <c r="B106" s="1"/>
      <c r="E106" s="182"/>
    </row>
    <row r="107" spans="1:5" ht="30">
      <c r="A107" s="23">
        <f>COUNT($A$36:A106)+1</f>
        <v>14</v>
      </c>
      <c r="B107" s="25" t="s">
        <v>1023</v>
      </c>
      <c r="E107" s="182"/>
    </row>
    <row r="108" spans="1:5" ht="75">
      <c r="B108" s="1" t="s">
        <v>1024</v>
      </c>
      <c r="E108" s="182"/>
    </row>
    <row r="109" spans="1:5">
      <c r="B109" s="1" t="s">
        <v>1025</v>
      </c>
      <c r="E109" s="182"/>
    </row>
    <row r="110" spans="1:5">
      <c r="B110" s="24" t="s">
        <v>746</v>
      </c>
      <c r="C110" s="29" t="s">
        <v>18</v>
      </c>
      <c r="D110" s="40">
        <v>1</v>
      </c>
      <c r="E110" s="182"/>
    </row>
    <row r="111" spans="1:5">
      <c r="E111" s="182"/>
    </row>
    <row r="112" spans="1:5">
      <c r="B112" s="1"/>
      <c r="E112" s="182"/>
    </row>
    <row r="113" spans="1:5">
      <c r="B113" s="1" t="s">
        <v>1027</v>
      </c>
      <c r="E113" s="182"/>
    </row>
    <row r="114" spans="1:5">
      <c r="B114" s="1"/>
      <c r="E114" s="182"/>
    </row>
    <row r="115" spans="1:5">
      <c r="B115" s="1" t="s">
        <v>1029</v>
      </c>
      <c r="E115" s="182"/>
    </row>
    <row r="116" spans="1:5">
      <c r="B116" s="1"/>
      <c r="E116" s="182"/>
    </row>
    <row r="117" spans="1:5" ht="45">
      <c r="B117" s="1" t="s">
        <v>757</v>
      </c>
      <c r="E117" s="182"/>
    </row>
    <row r="118" spans="1:5" ht="225">
      <c r="B118" s="6" t="s">
        <v>3377</v>
      </c>
      <c r="E118" s="182"/>
    </row>
    <row r="119" spans="1:5" ht="60">
      <c r="B119" s="1" t="s">
        <v>1032</v>
      </c>
      <c r="E119" s="182"/>
    </row>
    <row r="120" spans="1:5" ht="30">
      <c r="B120" s="1" t="s">
        <v>758</v>
      </c>
      <c r="E120" s="182"/>
    </row>
    <row r="121" spans="1:5">
      <c r="B121" s="1"/>
      <c r="E121" s="182"/>
    </row>
    <row r="122" spans="1:5">
      <c r="B122" s="25"/>
      <c r="E122" s="182"/>
    </row>
    <row r="123" spans="1:5">
      <c r="B123" s="1"/>
      <c r="E123" s="182"/>
    </row>
    <row r="124" spans="1:5">
      <c r="B124" s="1"/>
      <c r="E124" s="182"/>
    </row>
    <row r="126" spans="1:5">
      <c r="A126" s="23">
        <f>COUNT($A$36:A125)+1</f>
        <v>15</v>
      </c>
      <c r="B126" s="25" t="s">
        <v>759</v>
      </c>
    </row>
    <row r="127" spans="1:5" ht="120">
      <c r="B127" s="1" t="s">
        <v>1033</v>
      </c>
    </row>
    <row r="128" spans="1:5" ht="30">
      <c r="B128" s="1" t="s">
        <v>1034</v>
      </c>
    </row>
    <row r="129" spans="1:6">
      <c r="B129" s="1" t="s">
        <v>760</v>
      </c>
      <c r="C129" s="29" t="s">
        <v>18</v>
      </c>
      <c r="D129" s="40">
        <v>1</v>
      </c>
      <c r="E129" s="182"/>
    </row>
    <row r="130" spans="1:6">
      <c r="B130" s="1"/>
      <c r="E130" s="182"/>
    </row>
    <row r="131" spans="1:6">
      <c r="A131" s="23">
        <f>COUNT($A$36:A130)+1</f>
        <v>16</v>
      </c>
      <c r="B131" s="25" t="s">
        <v>759</v>
      </c>
    </row>
    <row r="132" spans="1:6" ht="150">
      <c r="B132" s="1" t="s">
        <v>1035</v>
      </c>
    </row>
    <row r="133" spans="1:6" ht="45">
      <c r="B133" s="1" t="s">
        <v>1036</v>
      </c>
    </row>
    <row r="134" spans="1:6">
      <c r="B134" s="1" t="s">
        <v>760</v>
      </c>
      <c r="C134" s="2"/>
      <c r="D134" s="2"/>
      <c r="E134" s="2"/>
      <c r="F134" s="2"/>
    </row>
    <row r="135" spans="1:6">
      <c r="B135" s="1" t="s">
        <v>1037</v>
      </c>
      <c r="C135" s="29" t="s">
        <v>18</v>
      </c>
      <c r="D135" s="40">
        <v>1</v>
      </c>
      <c r="E135" s="182"/>
    </row>
    <row r="136" spans="1:6" ht="30">
      <c r="B136" s="1" t="s">
        <v>1038</v>
      </c>
      <c r="C136" s="29" t="s">
        <v>18</v>
      </c>
      <c r="D136" s="40">
        <v>1</v>
      </c>
      <c r="E136" s="182"/>
    </row>
    <row r="137" spans="1:6">
      <c r="B137" s="1"/>
      <c r="E137" s="182"/>
    </row>
    <row r="138" spans="1:6">
      <c r="A138" s="23">
        <f>COUNT($A$36:A137)+1</f>
        <v>17</v>
      </c>
      <c r="B138" s="25" t="s">
        <v>761</v>
      </c>
      <c r="E138" s="182"/>
    </row>
    <row r="139" spans="1:6" ht="30">
      <c r="B139" s="1" t="s">
        <v>1039</v>
      </c>
      <c r="E139" s="182"/>
    </row>
    <row r="140" spans="1:6">
      <c r="B140" s="1" t="s">
        <v>760</v>
      </c>
      <c r="C140" s="29" t="s">
        <v>18</v>
      </c>
      <c r="D140" s="40">
        <v>1</v>
      </c>
      <c r="E140" s="182"/>
    </row>
    <row r="141" spans="1:6">
      <c r="B141" s="1"/>
      <c r="C141" s="2"/>
      <c r="D141" s="2"/>
      <c r="E141" s="2"/>
      <c r="F141" s="2"/>
    </row>
    <row r="142" spans="1:6">
      <c r="B142" s="1"/>
      <c r="E142" s="182"/>
    </row>
    <row r="143" spans="1:6">
      <c r="B143" s="24" t="s">
        <v>1040</v>
      </c>
    </row>
    <row r="146" spans="1:7">
      <c r="B146" s="1"/>
      <c r="E146" s="182"/>
    </row>
    <row r="147" spans="1:7">
      <c r="A147" s="23">
        <f>COUNT($A$36:A146)+1</f>
        <v>18</v>
      </c>
      <c r="B147" s="25" t="s">
        <v>762</v>
      </c>
    </row>
    <row r="148" spans="1:7" ht="75">
      <c r="B148" s="1" t="s">
        <v>763</v>
      </c>
    </row>
    <row r="149" spans="1:7">
      <c r="B149" s="1" t="s">
        <v>764</v>
      </c>
      <c r="C149" s="29" t="s">
        <v>18</v>
      </c>
      <c r="D149" s="40">
        <v>11</v>
      </c>
      <c r="E149" s="182"/>
      <c r="F149" s="185"/>
    </row>
    <row r="150" spans="1:7">
      <c r="B150" s="1"/>
      <c r="E150" s="182"/>
      <c r="F150" s="185"/>
    </row>
    <row r="151" spans="1:7">
      <c r="A151" s="23">
        <f>COUNT($A$36:A150)+1</f>
        <v>19</v>
      </c>
      <c r="B151" s="25" t="s">
        <v>765</v>
      </c>
    </row>
    <row r="152" spans="1:7" ht="105">
      <c r="B152" s="1" t="s">
        <v>766</v>
      </c>
    </row>
    <row r="153" spans="1:7" ht="30">
      <c r="B153" s="1" t="s">
        <v>767</v>
      </c>
    </row>
    <row r="154" spans="1:7">
      <c r="B154" s="1" t="s">
        <v>764</v>
      </c>
      <c r="C154" s="29" t="s">
        <v>18</v>
      </c>
      <c r="D154" s="40">
        <v>2</v>
      </c>
      <c r="E154" s="182"/>
      <c r="F154" s="185"/>
    </row>
    <row r="155" spans="1:7">
      <c r="B155" s="1"/>
      <c r="E155" s="182"/>
      <c r="F155" s="185"/>
    </row>
    <row r="156" spans="1:7">
      <c r="B156" s="1"/>
    </row>
    <row r="157" spans="1:7" ht="30">
      <c r="A157" s="17">
        <f>COUNT($A$5:A156)+1</f>
        <v>20</v>
      </c>
      <c r="B157" s="1" t="s">
        <v>1172</v>
      </c>
      <c r="E157" s="182"/>
    </row>
    <row r="158" spans="1:7" ht="135">
      <c r="A158" s="17"/>
      <c r="B158" s="1" t="s">
        <v>1177</v>
      </c>
      <c r="E158" s="182"/>
    </row>
    <row r="159" spans="1:7" ht="30">
      <c r="B159" s="1" t="s">
        <v>1176</v>
      </c>
      <c r="C159" s="1"/>
      <c r="D159" s="1"/>
      <c r="E159" s="182"/>
      <c r="F159" s="1"/>
    </row>
    <row r="160" spans="1:7" s="255" customFormat="1">
      <c r="B160" s="1" t="s">
        <v>1173</v>
      </c>
      <c r="C160" s="1" t="s">
        <v>18</v>
      </c>
      <c r="D160" s="1">
        <v>7</v>
      </c>
      <c r="E160" s="182"/>
      <c r="F160" s="183"/>
      <c r="G160" s="256"/>
    </row>
    <row r="161" spans="1:10" s="255" customFormat="1">
      <c r="B161" s="1" t="s">
        <v>1174</v>
      </c>
      <c r="C161" s="1" t="s">
        <v>18</v>
      </c>
      <c r="D161" s="1">
        <v>7</v>
      </c>
      <c r="E161" s="182"/>
      <c r="F161" s="183"/>
      <c r="G161" s="256"/>
      <c r="I161" s="257"/>
      <c r="J161" s="257"/>
    </row>
    <row r="162" spans="1:10" s="255" customFormat="1">
      <c r="B162" s="1" t="s">
        <v>1175</v>
      </c>
      <c r="C162" s="1" t="s">
        <v>11</v>
      </c>
      <c r="D162" s="1">
        <v>1</v>
      </c>
      <c r="E162" s="182"/>
      <c r="F162" s="183"/>
      <c r="G162" s="256"/>
      <c r="I162" s="257"/>
      <c r="J162" s="257"/>
    </row>
    <row r="163" spans="1:10">
      <c r="B163" s="1"/>
      <c r="E163" s="182"/>
    </row>
    <row r="164" spans="1:10">
      <c r="A164" s="23">
        <f>COUNT($A$36:A163)+1</f>
        <v>21</v>
      </c>
      <c r="B164" s="1" t="s">
        <v>1041</v>
      </c>
      <c r="E164" s="182"/>
    </row>
    <row r="165" spans="1:10" ht="225">
      <c r="B165" s="1" t="s">
        <v>1676</v>
      </c>
      <c r="E165" s="182"/>
    </row>
    <row r="166" spans="1:10" ht="60">
      <c r="B166" s="1" t="s">
        <v>1181</v>
      </c>
      <c r="E166" s="182"/>
    </row>
    <row r="167" spans="1:10" ht="30">
      <c r="B167" s="1" t="s">
        <v>768</v>
      </c>
      <c r="E167" s="182"/>
    </row>
    <row r="168" spans="1:10">
      <c r="B168" s="1" t="s">
        <v>1104</v>
      </c>
    </row>
    <row r="169" spans="1:10">
      <c r="B169" s="1" t="s">
        <v>1105</v>
      </c>
      <c r="C169" s="29" t="s">
        <v>130</v>
      </c>
      <c r="D169" s="40">
        <f>(4.52+7.27+1.2+1.85)*1.05</f>
        <v>15.581999999999999</v>
      </c>
      <c r="E169" s="182"/>
    </row>
    <row r="170" spans="1:10">
      <c r="B170" s="1" t="s">
        <v>1106</v>
      </c>
      <c r="C170" s="29" t="s">
        <v>130</v>
      </c>
      <c r="D170" s="40">
        <v>1.8</v>
      </c>
      <c r="E170" s="182"/>
    </row>
    <row r="171" spans="1:10">
      <c r="B171" s="1" t="s">
        <v>1107</v>
      </c>
      <c r="C171" s="29" t="s">
        <v>130</v>
      </c>
      <c r="D171" s="40">
        <v>1.8</v>
      </c>
      <c r="E171" s="182"/>
    </row>
    <row r="172" spans="1:10">
      <c r="B172" s="1" t="s">
        <v>1108</v>
      </c>
      <c r="C172" s="29" t="s">
        <v>130</v>
      </c>
      <c r="D172" s="40">
        <v>1.8</v>
      </c>
      <c r="E172" s="182"/>
    </row>
    <row r="173" spans="1:10">
      <c r="B173" s="1" t="s">
        <v>1109</v>
      </c>
      <c r="C173" s="29" t="s">
        <v>130</v>
      </c>
      <c r="D173" s="40">
        <v>1.8</v>
      </c>
      <c r="E173" s="182"/>
    </row>
    <row r="174" spans="1:10">
      <c r="B174" s="1" t="s">
        <v>1110</v>
      </c>
      <c r="C174" s="29" t="s">
        <v>130</v>
      </c>
      <c r="D174" s="40">
        <v>1.8</v>
      </c>
      <c r="E174" s="182"/>
    </row>
    <row r="175" spans="1:10">
      <c r="B175" s="1" t="s">
        <v>1111</v>
      </c>
      <c r="C175" s="29" t="s">
        <v>130</v>
      </c>
      <c r="D175" s="40">
        <v>1.8</v>
      </c>
      <c r="E175" s="182"/>
    </row>
    <row r="176" spans="1:10">
      <c r="B176" s="1" t="s">
        <v>1112</v>
      </c>
      <c r="C176" s="29" t="s">
        <v>130</v>
      </c>
      <c r="D176" s="40">
        <v>1.8</v>
      </c>
      <c r="E176" s="182"/>
    </row>
    <row r="177" spans="1:6">
      <c r="B177" s="1" t="s">
        <v>1113</v>
      </c>
      <c r="C177" s="29" t="s">
        <v>130</v>
      </c>
      <c r="D177" s="40">
        <v>1.8</v>
      </c>
      <c r="E177" s="182"/>
    </row>
    <row r="178" spans="1:6" ht="30">
      <c r="B178" s="1" t="s">
        <v>1114</v>
      </c>
      <c r="C178" s="29" t="s">
        <v>130</v>
      </c>
      <c r="D178" s="40">
        <f>1.5</f>
        <v>1.5</v>
      </c>
      <c r="E178" s="182"/>
    </row>
    <row r="179" spans="1:6">
      <c r="B179" s="1" t="s">
        <v>1115</v>
      </c>
      <c r="C179" s="29" t="s">
        <v>130</v>
      </c>
      <c r="D179" s="40">
        <f>(13.95*2-1.2)*1.05</f>
        <v>28.035</v>
      </c>
      <c r="E179" s="182"/>
    </row>
    <row r="180" spans="1:6">
      <c r="B180" s="1"/>
      <c r="E180" s="182"/>
    </row>
    <row r="181" spans="1:6">
      <c r="B181" s="1"/>
      <c r="E181" s="182"/>
    </row>
    <row r="182" spans="1:6">
      <c r="B182" s="1"/>
      <c r="E182" s="182"/>
    </row>
    <row r="183" spans="1:6">
      <c r="B183" s="1"/>
      <c r="E183" s="182"/>
    </row>
    <row r="184" spans="1:6">
      <c r="B184" s="1"/>
      <c r="E184" s="182"/>
    </row>
    <row r="185" spans="1:6" ht="17.25" customHeight="1">
      <c r="A185" s="23">
        <f>COUNT($A$36:A184)+1</f>
        <v>22</v>
      </c>
      <c r="B185" s="1" t="s">
        <v>816</v>
      </c>
      <c r="E185" s="182"/>
    </row>
    <row r="186" spans="1:6" ht="285">
      <c r="B186" s="1" t="s">
        <v>1587</v>
      </c>
      <c r="E186" s="182"/>
    </row>
    <row r="187" spans="1:6">
      <c r="B187" s="1" t="s">
        <v>225</v>
      </c>
    </row>
    <row r="188" spans="1:6" ht="30">
      <c r="B188" s="1" t="s">
        <v>1588</v>
      </c>
      <c r="C188" s="29" t="s">
        <v>130</v>
      </c>
      <c r="D188" s="40">
        <f>(4.35*11+3.32+3.24*12+3.13*9+4.72*2+2.68*3)*1.1</f>
        <v>149.27000000000001</v>
      </c>
      <c r="E188" s="182"/>
    </row>
    <row r="189" spans="1:6" ht="30">
      <c r="B189" s="1" t="s">
        <v>1589</v>
      </c>
      <c r="C189" s="29" t="s">
        <v>130</v>
      </c>
      <c r="D189" s="40">
        <f>4.35*1.1</f>
        <v>4.7850000000000001</v>
      </c>
      <c r="E189" s="182"/>
    </row>
    <row r="190" spans="1:6" s="59" customFormat="1" ht="27" customHeight="1">
      <c r="A190" s="133"/>
      <c r="B190" s="57"/>
      <c r="C190" s="72"/>
      <c r="D190" s="141"/>
      <c r="E190" s="178"/>
      <c r="F190" s="178"/>
    </row>
    <row r="191" spans="1:6" s="59" customFormat="1">
      <c r="A191" s="139"/>
      <c r="B191" s="57"/>
      <c r="C191" s="58"/>
      <c r="D191" s="130"/>
      <c r="E191" s="179"/>
      <c r="F191" s="178"/>
    </row>
    <row r="192" spans="1:6" s="59" customFormat="1">
      <c r="A192" s="139"/>
      <c r="B192" s="57"/>
      <c r="C192" s="58"/>
      <c r="D192" s="130"/>
      <c r="E192" s="179"/>
      <c r="F192" s="178"/>
    </row>
    <row r="193" spans="1:6" s="59" customFormat="1">
      <c r="A193" s="139"/>
      <c r="B193" s="57"/>
      <c r="C193" s="58"/>
      <c r="D193" s="130"/>
      <c r="E193" s="179"/>
      <c r="F193" s="178"/>
    </row>
    <row r="194" spans="1:6" s="59" customFormat="1">
      <c r="A194" s="139"/>
      <c r="B194" s="57"/>
      <c r="C194" s="58"/>
      <c r="D194" s="130"/>
      <c r="E194" s="179"/>
      <c r="F194" s="178"/>
    </row>
    <row r="195" spans="1:6" s="59" customFormat="1">
      <c r="A195" s="139"/>
      <c r="B195" s="57"/>
      <c r="C195" s="58"/>
      <c r="D195" s="130"/>
      <c r="E195" s="179"/>
      <c r="F195" s="178"/>
    </row>
    <row r="196" spans="1:6" s="59" customFormat="1">
      <c r="A196" s="133"/>
      <c r="B196" s="57"/>
      <c r="C196" s="72"/>
      <c r="D196" s="141"/>
      <c r="E196" s="178"/>
      <c r="F196" s="178"/>
    </row>
    <row r="197" spans="1:6" s="59" customFormat="1">
      <c r="A197" s="133"/>
      <c r="B197" s="57"/>
      <c r="C197" s="72"/>
      <c r="D197" s="141"/>
      <c r="E197" s="178"/>
      <c r="F197" s="178"/>
    </row>
    <row r="198" spans="1:6" s="59" customFormat="1">
      <c r="A198" s="139"/>
      <c r="B198" s="57"/>
      <c r="C198" s="58"/>
      <c r="D198" s="130"/>
      <c r="E198" s="179"/>
      <c r="F198" s="178"/>
    </row>
    <row r="199" spans="1:6" s="59" customFormat="1">
      <c r="A199" s="139"/>
      <c r="B199" s="57"/>
      <c r="C199" s="58"/>
      <c r="D199" s="130"/>
      <c r="E199" s="179"/>
      <c r="F199" s="178"/>
    </row>
    <row r="200" spans="1:6" s="59" customFormat="1">
      <c r="A200" s="139"/>
      <c r="B200" s="57"/>
      <c r="C200" s="58"/>
      <c r="D200" s="130"/>
      <c r="E200" s="179"/>
      <c r="F200" s="178"/>
    </row>
    <row r="201" spans="1:6" s="59" customFormat="1">
      <c r="A201" s="133"/>
      <c r="B201" s="57"/>
      <c r="C201" s="72"/>
      <c r="D201" s="141"/>
      <c r="E201" s="178"/>
      <c r="F201" s="178"/>
    </row>
    <row r="202" spans="1:6" s="59" customFormat="1">
      <c r="A202" s="133"/>
      <c r="B202" s="57"/>
      <c r="C202" s="72"/>
      <c r="D202" s="141"/>
      <c r="E202" s="178"/>
      <c r="F202" s="178"/>
    </row>
    <row r="203" spans="1:6" s="59" customFormat="1">
      <c r="A203" s="139"/>
      <c r="B203" s="57"/>
      <c r="C203" s="58"/>
      <c r="D203" s="130"/>
      <c r="E203" s="179"/>
      <c r="F203" s="178"/>
    </row>
    <row r="204" spans="1:6">
      <c r="B204" s="1"/>
      <c r="E204" s="182"/>
    </row>
    <row r="205" spans="1:6">
      <c r="B205" s="1"/>
      <c r="E205" s="182"/>
    </row>
    <row r="206" spans="1:6">
      <c r="A206" s="172" t="s">
        <v>245</v>
      </c>
      <c r="B206" s="173" t="s">
        <v>769</v>
      </c>
      <c r="C206" s="174"/>
      <c r="D206" s="175"/>
      <c r="E206" s="192"/>
      <c r="F206" s="193"/>
    </row>
    <row r="207" spans="1:6" ht="80.25" customHeight="1">
      <c r="B207" s="1"/>
    </row>
    <row r="208" spans="1:6" ht="28.5" customHeight="1"/>
  </sheetData>
  <pageMargins left="0.7" right="0.7" top="0.79625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14.xml><?xml version="1.0" encoding="utf-8"?>
<worksheet xmlns="http://schemas.openxmlformats.org/spreadsheetml/2006/main" xmlns:r="http://schemas.openxmlformats.org/officeDocument/2006/relationships">
  <sheetPr>
    <tabColor rgb="FF0070C0"/>
  </sheetPr>
  <dimension ref="A1:IS214"/>
  <sheetViews>
    <sheetView showZeros="0" view="pageBreakPreview" zoomScale="110" zoomScaleNormal="85" zoomScaleSheetLayoutView="110" workbookViewId="0">
      <selection activeCell="E2" sqref="E2:F215"/>
    </sheetView>
  </sheetViews>
  <sheetFormatPr defaultColWidth="8.85546875" defaultRowHeight="15"/>
  <cols>
    <col min="1" max="1" width="8.7109375" style="17" customWidth="1"/>
    <col min="2" max="2" width="45.140625" style="1" customWidth="1"/>
    <col min="3" max="3" width="8.5703125" style="29" customWidth="1"/>
    <col min="4" max="4" width="10.7109375" style="40" customWidth="1"/>
    <col min="5" max="5" width="13.7109375" style="163" customWidth="1"/>
    <col min="6" max="6" width="16.7109375" style="163" customWidth="1"/>
    <col min="7" max="16384" width="8.85546875" style="2"/>
  </cols>
  <sheetData>
    <row r="1" spans="1:11">
      <c r="A1" s="118" t="s">
        <v>260</v>
      </c>
      <c r="B1" s="107" t="s">
        <v>261</v>
      </c>
      <c r="C1" s="64" t="s">
        <v>262</v>
      </c>
      <c r="D1" s="114" t="s">
        <v>263</v>
      </c>
      <c r="E1" s="158" t="s">
        <v>264</v>
      </c>
      <c r="F1" s="159" t="s">
        <v>265</v>
      </c>
    </row>
    <row r="3" spans="1:11">
      <c r="A3" s="17" t="s">
        <v>246</v>
      </c>
      <c r="B3" s="25" t="s">
        <v>23</v>
      </c>
      <c r="E3" s="162"/>
    </row>
    <row r="4" spans="1:11">
      <c r="E4" s="162"/>
    </row>
    <row r="5" spans="1:11">
      <c r="B5" s="25" t="s">
        <v>2</v>
      </c>
      <c r="E5" s="162"/>
    </row>
    <row r="6" spans="1:11" ht="75">
      <c r="B6" s="1" t="s">
        <v>24</v>
      </c>
      <c r="E6" s="162"/>
      <c r="K6" s="551"/>
    </row>
    <row r="7" spans="1:11" ht="75">
      <c r="B7" s="1" t="s">
        <v>25</v>
      </c>
      <c r="E7" s="162"/>
    </row>
    <row r="8" spans="1:11" ht="60">
      <c r="B8" s="1" t="s">
        <v>26</v>
      </c>
      <c r="E8" s="162"/>
    </row>
    <row r="9" spans="1:11" ht="150">
      <c r="B9" s="1" t="s">
        <v>27</v>
      </c>
      <c r="E9" s="162"/>
    </row>
    <row r="10" spans="1:11" ht="120">
      <c r="B10" s="1" t="s">
        <v>632</v>
      </c>
      <c r="E10" s="162"/>
    </row>
    <row r="11" spans="1:11">
      <c r="E11" s="162"/>
    </row>
    <row r="12" spans="1:11" ht="96.75" customHeight="1">
      <c r="B12" s="1" t="s">
        <v>104</v>
      </c>
      <c r="E12" s="162"/>
    </row>
    <row r="13" spans="1:11" ht="182.25" customHeight="1">
      <c r="B13" s="1" t="s">
        <v>28</v>
      </c>
      <c r="E13" s="162"/>
    </row>
    <row r="14" spans="1:11" ht="60">
      <c r="B14" s="1" t="s">
        <v>1631</v>
      </c>
      <c r="E14" s="162"/>
    </row>
    <row r="15" spans="1:11">
      <c r="E15" s="162"/>
    </row>
    <row r="16" spans="1:11">
      <c r="E16" s="162"/>
    </row>
    <row r="17" spans="1:6">
      <c r="E17" s="162"/>
    </row>
    <row r="19" spans="1:6" ht="30">
      <c r="A19" s="17">
        <f>COUNT($A$5:A18)+1</f>
        <v>1</v>
      </c>
      <c r="B19" s="1" t="s">
        <v>1295</v>
      </c>
      <c r="E19" s="162"/>
    </row>
    <row r="20" spans="1:6" ht="45">
      <c r="B20" s="1" t="s">
        <v>510</v>
      </c>
      <c r="E20" s="162"/>
    </row>
    <row r="21" spans="1:6" ht="30">
      <c r="B21" s="1" t="s">
        <v>40</v>
      </c>
      <c r="E21" s="162"/>
    </row>
    <row r="22" spans="1:6" ht="90">
      <c r="B22" s="1" t="s">
        <v>1296</v>
      </c>
      <c r="E22" s="162"/>
    </row>
    <row r="23" spans="1:6" ht="166.5" customHeight="1">
      <c r="B23" s="1" t="s">
        <v>511</v>
      </c>
      <c r="E23" s="162"/>
      <c r="F23" s="165"/>
    </row>
    <row r="24" spans="1:6" ht="30">
      <c r="B24" s="1" t="s">
        <v>512</v>
      </c>
      <c r="C24" s="29" t="s">
        <v>11</v>
      </c>
      <c r="D24" s="40">
        <f>1100*1.1-D28</f>
        <v>1145.76</v>
      </c>
      <c r="E24" s="162"/>
    </row>
    <row r="25" spans="1:6">
      <c r="E25" s="162"/>
    </row>
    <row r="26" spans="1:6" ht="30">
      <c r="A26" s="17">
        <f>COUNT($A$5:A25)+1</f>
        <v>2</v>
      </c>
      <c r="B26" s="1" t="s">
        <v>1450</v>
      </c>
      <c r="E26" s="162"/>
    </row>
    <row r="27" spans="1:6" ht="30">
      <c r="B27" s="1" t="s">
        <v>1667</v>
      </c>
      <c r="E27" s="162"/>
    </row>
    <row r="28" spans="1:6" ht="30">
      <c r="B28" s="1" t="s">
        <v>512</v>
      </c>
      <c r="C28" s="29" t="s">
        <v>11</v>
      </c>
      <c r="D28" s="40">
        <f>7.3*8*1.1</f>
        <v>64.240000000000009</v>
      </c>
      <c r="E28" s="162"/>
    </row>
    <row r="29" spans="1:6">
      <c r="E29" s="162"/>
    </row>
    <row r="30" spans="1:6" ht="30">
      <c r="A30" s="17">
        <f>COUNT($A$5:A29)+1</f>
        <v>3</v>
      </c>
      <c r="B30" s="1" t="s">
        <v>1668</v>
      </c>
      <c r="E30" s="162"/>
    </row>
    <row r="31" spans="1:6" ht="60">
      <c r="B31" s="1" t="s">
        <v>1677</v>
      </c>
      <c r="E31" s="162"/>
    </row>
    <row r="32" spans="1:6">
      <c r="B32" s="1" t="s">
        <v>1669</v>
      </c>
      <c r="C32" s="29" t="s">
        <v>130</v>
      </c>
      <c r="D32" s="40">
        <f>(51.5*3+11.8*5+11+21.6+19.5+9.8+4.8+51.1+49.6+47.9+9.85*6+1*6+2.6*5+2.92*7+6.5+1.75*2)*1.5</f>
        <v>806.01000000000022</v>
      </c>
      <c r="E32" s="162"/>
    </row>
    <row r="33" spans="1:253">
      <c r="E33" s="162"/>
    </row>
    <row r="34" spans="1:253" s="1" customFormat="1" ht="45">
      <c r="A34" s="17">
        <f>COUNT($A$5:A33)+1</f>
        <v>4</v>
      </c>
      <c r="B34" s="1" t="s">
        <v>554</v>
      </c>
      <c r="C34" s="31"/>
      <c r="D34" s="75"/>
      <c r="E34" s="200"/>
      <c r="F34" s="163"/>
      <c r="G34" s="76"/>
      <c r="H34" s="76"/>
      <c r="I34" s="76"/>
      <c r="J34" s="77"/>
      <c r="L34" s="2"/>
      <c r="M34" s="2"/>
    </row>
    <row r="35" spans="1:253" s="1" customFormat="1" ht="75">
      <c r="A35" s="555"/>
      <c r="B35" s="1" t="s">
        <v>1297</v>
      </c>
      <c r="C35" s="31"/>
      <c r="D35" s="75"/>
      <c r="E35" s="200"/>
      <c r="F35" s="163"/>
      <c r="G35" s="76"/>
      <c r="H35" s="76"/>
      <c r="I35" s="76"/>
      <c r="J35" s="77"/>
      <c r="L35" s="2"/>
      <c r="M35" s="2"/>
    </row>
    <row r="36" spans="1:253" s="1" customFormat="1" ht="78.75" customHeight="1">
      <c r="A36" s="555"/>
      <c r="B36" s="1" t="s">
        <v>555</v>
      </c>
      <c r="C36" s="31"/>
      <c r="D36" s="75"/>
      <c r="E36" s="200"/>
      <c r="F36" s="163"/>
      <c r="G36" s="76"/>
      <c r="H36" s="76"/>
      <c r="I36" s="76"/>
      <c r="J36" s="77"/>
      <c r="L36" s="2"/>
      <c r="M36" s="2"/>
    </row>
    <row r="37" spans="1:253" s="1" customFormat="1" ht="90">
      <c r="A37" s="555"/>
      <c r="B37" s="1" t="s">
        <v>556</v>
      </c>
      <c r="C37" s="31"/>
      <c r="D37" s="75"/>
      <c r="E37" s="200"/>
      <c r="F37" s="163"/>
      <c r="G37" s="76"/>
      <c r="H37" s="76"/>
      <c r="I37" s="76"/>
      <c r="J37" s="77"/>
      <c r="L37" s="2"/>
      <c r="M37" s="2"/>
    </row>
    <row r="38" spans="1:253" ht="45">
      <c r="A38" s="555"/>
      <c r="B38" s="1" t="s">
        <v>557</v>
      </c>
      <c r="C38" s="31"/>
      <c r="D38" s="75"/>
      <c r="E38" s="200"/>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row>
    <row r="39" spans="1:253" ht="120">
      <c r="A39" s="555"/>
      <c r="B39" s="1" t="s">
        <v>558</v>
      </c>
      <c r="C39" s="31"/>
      <c r="D39" s="75"/>
      <c r="E39" s="200"/>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row>
    <row r="40" spans="1:253">
      <c r="A40" s="555"/>
      <c r="B40" s="1" t="s">
        <v>446</v>
      </c>
      <c r="C40" s="31" t="s">
        <v>11</v>
      </c>
      <c r="D40" s="75">
        <f>((6.92+5.4+1.04+3*1.5*3+2.5*1.5+2.7*1.5+(1+1.54+1+1.39)*2*3+6.57+4.06+14.51+4+13.41+3*1.5*9+1.72*2*1.5+1.23*3*1.5+1.6*2*1.5+2*1.5+3*1.5+3.8*1.5+(2.04+1.02)*2*1.5+3*1.5+4*1.5+3*1.5+2.5*1.5))*1.05</f>
        <v>214.11075000000002</v>
      </c>
      <c r="E40" s="200"/>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row>
    <row r="41" spans="1:253">
      <c r="E41" s="162"/>
    </row>
    <row r="42" spans="1:253">
      <c r="E42" s="162"/>
    </row>
    <row r="43" spans="1:253" s="1" customFormat="1" ht="30">
      <c r="A43" s="17">
        <f>COUNT($A$5:A42)+1</f>
        <v>5</v>
      </c>
      <c r="B43" s="1" t="s">
        <v>1300</v>
      </c>
      <c r="C43" s="31"/>
      <c r="D43" s="75"/>
      <c r="E43" s="200"/>
      <c r="F43" s="163"/>
      <c r="G43" s="76"/>
      <c r="H43" s="76"/>
      <c r="I43" s="76"/>
      <c r="J43" s="77"/>
      <c r="L43" s="2"/>
      <c r="M43" s="2"/>
    </row>
    <row r="44" spans="1:253" s="1" customFormat="1" ht="60">
      <c r="A44" s="555"/>
      <c r="B44" s="1" t="s">
        <v>1301</v>
      </c>
      <c r="C44" s="31"/>
      <c r="D44" s="75"/>
      <c r="E44" s="200"/>
      <c r="F44" s="163"/>
      <c r="G44" s="76"/>
      <c r="H44" s="76"/>
      <c r="I44" s="76"/>
      <c r="J44" s="77"/>
      <c r="L44" s="2"/>
      <c r="M44" s="2"/>
    </row>
    <row r="45" spans="1:253" s="1" customFormat="1" ht="165">
      <c r="A45" s="555"/>
      <c r="B45" s="1" t="s">
        <v>555</v>
      </c>
      <c r="C45" s="31" t="s">
        <v>1302</v>
      </c>
      <c r="D45" s="75"/>
      <c r="E45" s="200"/>
      <c r="F45" s="163"/>
      <c r="G45" s="76"/>
      <c r="H45" s="76"/>
      <c r="I45" s="76"/>
      <c r="J45" s="77"/>
      <c r="L45" s="2"/>
      <c r="M45" s="2"/>
    </row>
    <row r="46" spans="1:253" s="1" customFormat="1" ht="90">
      <c r="A46" s="555"/>
      <c r="B46" s="1" t="s">
        <v>556</v>
      </c>
      <c r="C46" s="31"/>
      <c r="D46" s="75"/>
      <c r="E46" s="200"/>
      <c r="F46" s="163"/>
      <c r="G46" s="76"/>
      <c r="H46" s="76"/>
      <c r="I46" s="76"/>
      <c r="J46" s="77"/>
      <c r="L46" s="2"/>
      <c r="M46" s="2"/>
    </row>
    <row r="47" spans="1:253" ht="45">
      <c r="A47" s="555"/>
      <c r="B47" s="1" t="s">
        <v>557</v>
      </c>
      <c r="C47" s="31"/>
      <c r="D47" s="75"/>
      <c r="E47" s="200"/>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row>
    <row r="48" spans="1:253" ht="120">
      <c r="A48" s="555"/>
      <c r="B48" s="1" t="s">
        <v>558</v>
      </c>
      <c r="C48" s="31"/>
      <c r="D48" s="75"/>
      <c r="E48" s="200"/>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row>
    <row r="49" spans="1:253">
      <c r="A49" s="555"/>
      <c r="C49" s="31"/>
      <c r="D49" s="75"/>
      <c r="E49" s="200"/>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row>
    <row r="50" spans="1:253">
      <c r="A50" s="555"/>
      <c r="B50" s="1" t="s">
        <v>446</v>
      </c>
      <c r="C50" s="31" t="s">
        <v>11</v>
      </c>
      <c r="D50" s="75">
        <f>(200+(7.27+4.52*2)*1.38+7.2*1.38+18+5+4.23*2+4.72+2.5)*1.2</f>
        <v>325.34856000000002</v>
      </c>
      <c r="E50" s="200"/>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row>
    <row r="51" spans="1:253">
      <c r="A51" s="555"/>
      <c r="C51" s="31"/>
      <c r="D51" s="75"/>
      <c r="E51" s="200"/>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row>
    <row r="52" spans="1:253">
      <c r="A52" s="17">
        <f>COUNT($A$5:A48)+1</f>
        <v>6</v>
      </c>
      <c r="B52" s="1" t="s">
        <v>563</v>
      </c>
      <c r="E52" s="162"/>
    </row>
    <row r="53" spans="1:253" ht="60">
      <c r="B53" s="1" t="s">
        <v>1299</v>
      </c>
      <c r="E53" s="162"/>
    </row>
    <row r="54" spans="1:253" ht="30">
      <c r="B54" s="1" t="s">
        <v>561</v>
      </c>
      <c r="E54" s="162"/>
    </row>
    <row r="55" spans="1:253" ht="30">
      <c r="B55" s="1" t="s">
        <v>1298</v>
      </c>
      <c r="E55" s="162"/>
    </row>
    <row r="56" spans="1:253" ht="153" customHeight="1">
      <c r="B56" s="1" t="s">
        <v>562</v>
      </c>
      <c r="E56" s="162"/>
    </row>
    <row r="57" spans="1:253" ht="30">
      <c r="B57" s="1" t="s">
        <v>512</v>
      </c>
      <c r="C57" s="29" t="s">
        <v>11</v>
      </c>
      <c r="D57" s="40">
        <v>1500</v>
      </c>
      <c r="E57" s="162"/>
    </row>
    <row r="58" spans="1:253">
      <c r="E58" s="162"/>
    </row>
    <row r="59" spans="1:253" ht="30">
      <c r="A59" s="17">
        <f>COUNT($A$5:A55)+1</f>
        <v>7</v>
      </c>
      <c r="B59" s="1" t="s">
        <v>1303</v>
      </c>
      <c r="E59" s="162"/>
    </row>
    <row r="60" spans="1:253" ht="63" customHeight="1">
      <c r="B60" s="1" t="s">
        <v>1304</v>
      </c>
      <c r="E60" s="162"/>
    </row>
    <row r="61" spans="1:253" ht="30">
      <c r="B61" s="1" t="s">
        <v>561</v>
      </c>
      <c r="E61" s="162"/>
    </row>
    <row r="62" spans="1:253">
      <c r="B62" s="1" t="s">
        <v>1305</v>
      </c>
      <c r="E62" s="162"/>
    </row>
    <row r="63" spans="1:253" ht="153" customHeight="1">
      <c r="B63" s="1" t="s">
        <v>562</v>
      </c>
      <c r="E63" s="162"/>
    </row>
    <row r="64" spans="1:253" ht="30">
      <c r="B64" s="1" t="s">
        <v>512</v>
      </c>
      <c r="C64" s="29" t="s">
        <v>11</v>
      </c>
      <c r="D64" s="40">
        <f>((34.31+7.19+43.6+2.87)*0.5+1.2*(1.59*2+14.34))*1.2</f>
        <v>78.010800000000003</v>
      </c>
      <c r="E64" s="162"/>
    </row>
    <row r="65" spans="1:253">
      <c r="E65" s="162"/>
    </row>
    <row r="66" spans="1:253" ht="30">
      <c r="A66" s="17">
        <f>COUNT($A$5:A54)+1</f>
        <v>7</v>
      </c>
      <c r="B66" s="1" t="s">
        <v>1306</v>
      </c>
      <c r="E66" s="162"/>
    </row>
    <row r="67" spans="1:253" ht="30">
      <c r="B67" s="1" t="s">
        <v>1313</v>
      </c>
      <c r="E67" s="162"/>
    </row>
    <row r="68" spans="1:253" ht="225">
      <c r="B68" s="1" t="s">
        <v>1309</v>
      </c>
      <c r="E68" s="162"/>
    </row>
    <row r="69" spans="1:253" ht="30">
      <c r="B69" s="1" t="s">
        <v>1307</v>
      </c>
      <c r="E69" s="162"/>
    </row>
    <row r="70" spans="1:253" ht="30">
      <c r="B70" s="1" t="s">
        <v>561</v>
      </c>
      <c r="E70" s="162"/>
    </row>
    <row r="71" spans="1:253" ht="153" customHeight="1">
      <c r="B71" s="1" t="s">
        <v>1308</v>
      </c>
      <c r="E71" s="162"/>
    </row>
    <row r="72" spans="1:253" ht="30">
      <c r="B72" s="1" t="s">
        <v>1311</v>
      </c>
      <c r="C72" s="2"/>
      <c r="D72" s="2"/>
      <c r="E72" s="2"/>
      <c r="F72" s="2"/>
    </row>
    <row r="73" spans="1:253">
      <c r="A73" s="555"/>
      <c r="B73" s="1" t="s">
        <v>1312</v>
      </c>
      <c r="C73" s="29" t="s">
        <v>11</v>
      </c>
      <c r="D73" s="40">
        <f>((7.19+34.31+43.6+2.87)*0.5+(1.4*4*3+1.45*0.3*6)+(17.8+13.6+8.6+2.9+2.24+2.15+3.52+2.75+2.5+5.35+4+3.04))*1.1</f>
        <v>145.02950000000001</v>
      </c>
      <c r="E73" s="16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row>
    <row r="74" spans="1:253">
      <c r="A74" s="555"/>
      <c r="B74" s="1" t="s">
        <v>1315</v>
      </c>
      <c r="C74" s="29" t="s">
        <v>11</v>
      </c>
      <c r="D74" s="40">
        <f>$D$73</f>
        <v>145.02950000000001</v>
      </c>
      <c r="E74" s="16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row>
    <row r="75" spans="1:253">
      <c r="A75" s="555"/>
      <c r="B75" s="1" t="s">
        <v>1317</v>
      </c>
      <c r="C75" s="29" t="s">
        <v>11</v>
      </c>
      <c r="D75" s="40">
        <f t="shared" ref="D75:D76" si="0">$D$73</f>
        <v>145.02950000000001</v>
      </c>
      <c r="E75" s="16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row>
    <row r="76" spans="1:253">
      <c r="A76" s="555"/>
      <c r="B76" s="1" t="s">
        <v>1316</v>
      </c>
      <c r="C76" s="29" t="s">
        <v>11</v>
      </c>
      <c r="D76" s="40">
        <f t="shared" si="0"/>
        <v>145.02950000000001</v>
      </c>
      <c r="E76" s="16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row>
    <row r="77" spans="1:253">
      <c r="E77" s="162"/>
    </row>
    <row r="78" spans="1:253" ht="30">
      <c r="A78" s="17">
        <f>COUNT($A$5:A66)+1</f>
        <v>9</v>
      </c>
      <c r="B78" s="1" t="s">
        <v>1306</v>
      </c>
      <c r="E78" s="162"/>
    </row>
    <row r="79" spans="1:253" ht="30">
      <c r="B79" s="1" t="s">
        <v>1313</v>
      </c>
      <c r="E79" s="162"/>
    </row>
    <row r="80" spans="1:253" ht="216.75" customHeight="1">
      <c r="B80" s="1" t="s">
        <v>1449</v>
      </c>
      <c r="E80" s="162"/>
    </row>
    <row r="81" spans="1:253" ht="30">
      <c r="B81" s="1" t="s">
        <v>1307</v>
      </c>
      <c r="E81" s="162"/>
    </row>
    <row r="82" spans="1:253" ht="30">
      <c r="B82" s="1" t="s">
        <v>561</v>
      </c>
      <c r="E82" s="162"/>
    </row>
    <row r="83" spans="1:253" ht="135.75" customHeight="1">
      <c r="B83" s="1" t="s">
        <v>1308</v>
      </c>
      <c r="E83" s="162"/>
    </row>
    <row r="84" spans="1:253" ht="30">
      <c r="B84" s="1" t="s">
        <v>1311</v>
      </c>
      <c r="C84" s="2"/>
      <c r="D84" s="2"/>
      <c r="E84" s="2"/>
      <c r="F84" s="2"/>
    </row>
    <row r="85" spans="1:253">
      <c r="A85" s="555"/>
      <c r="B85" s="1" t="s">
        <v>1312</v>
      </c>
      <c r="C85" s="29" t="s">
        <v>11</v>
      </c>
      <c r="D85" s="40">
        <v>30</v>
      </c>
      <c r="E85" s="16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row>
    <row r="86" spans="1:253">
      <c r="A86" s="555"/>
      <c r="B86" s="1" t="s">
        <v>1315</v>
      </c>
      <c r="C86" s="29" t="s">
        <v>11</v>
      </c>
      <c r="D86" s="40">
        <f>$D$85</f>
        <v>30</v>
      </c>
      <c r="E86" s="16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row>
    <row r="87" spans="1:253">
      <c r="A87" s="555"/>
      <c r="B87" s="1" t="s">
        <v>1317</v>
      </c>
      <c r="C87" s="29" t="s">
        <v>11</v>
      </c>
      <c r="D87" s="40">
        <f>$D$85</f>
        <v>30</v>
      </c>
      <c r="E87" s="16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row>
    <row r="88" spans="1:253">
      <c r="A88" s="555"/>
      <c r="B88" s="1" t="s">
        <v>1316</v>
      </c>
      <c r="C88" s="29" t="s">
        <v>11</v>
      </c>
      <c r="D88" s="40">
        <f>$D$85</f>
        <v>30</v>
      </c>
      <c r="E88" s="16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row>
    <row r="89" spans="1:253">
      <c r="E89" s="162"/>
    </row>
    <row r="90" spans="1:253" ht="30">
      <c r="A90" s="17">
        <f>COUNT($A$5:A62)+1</f>
        <v>8</v>
      </c>
      <c r="B90" s="1" t="s">
        <v>1310</v>
      </c>
      <c r="E90" s="162"/>
    </row>
    <row r="91" spans="1:253" ht="120">
      <c r="B91" s="1" t="s">
        <v>1318</v>
      </c>
      <c r="E91" s="162"/>
    </row>
    <row r="92" spans="1:253">
      <c r="A92" s="555"/>
      <c r="B92" s="1" t="s">
        <v>1312</v>
      </c>
      <c r="C92" s="29" t="s">
        <v>11</v>
      </c>
      <c r="D92" s="40">
        <f>((1.24*10.59*3+3.39*1.24)+(3.7*4*3+3.55*0.3*6)+(7.19+34.31+43.6+2.87)*0.7)</f>
        <v>155.9674</v>
      </c>
      <c r="E92" s="16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row>
    <row r="93" spans="1:253">
      <c r="A93" s="555"/>
      <c r="B93" s="1" t="s">
        <v>1315</v>
      </c>
      <c r="C93" s="29" t="s">
        <v>11</v>
      </c>
      <c r="D93" s="40">
        <f>$D$92</f>
        <v>155.9674</v>
      </c>
      <c r="E93" s="16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row>
    <row r="94" spans="1:253">
      <c r="A94" s="555"/>
      <c r="B94" s="1" t="s">
        <v>1314</v>
      </c>
      <c r="C94" s="29" t="s">
        <v>11</v>
      </c>
      <c r="D94" s="40">
        <f>$D$92</f>
        <v>155.9674</v>
      </c>
      <c r="E94" s="16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row>
    <row r="95" spans="1:253">
      <c r="E95" s="162"/>
    </row>
    <row r="96" spans="1:253" ht="30">
      <c r="A96" s="17">
        <f>COUNT($A$5:A95)+1</f>
        <v>11</v>
      </c>
      <c r="B96" s="1" t="s">
        <v>1319</v>
      </c>
      <c r="E96" s="162"/>
    </row>
    <row r="97" spans="1:253" ht="105">
      <c r="B97" s="1" t="s">
        <v>1320</v>
      </c>
      <c r="E97" s="162"/>
    </row>
    <row r="98" spans="1:253" ht="60">
      <c r="B98" s="1" t="s">
        <v>45</v>
      </c>
      <c r="E98" s="162"/>
    </row>
    <row r="99" spans="1:253" ht="30">
      <c r="B99" s="1" t="s">
        <v>516</v>
      </c>
      <c r="C99" s="29" t="s">
        <v>11</v>
      </c>
      <c r="D99" s="40">
        <f>((0.8*(10.23+2*2.39)+0.5*2*10.23+0.4*4.08*2)*3+(48.68*0.95+43.62*1.25)+43.47*4*0.27+9.07*(0.3*2+0.6)+(0.88*2+1)*18.8+6.52*2*0.5+0.31*2*6.55)*1.1</f>
        <v>327.33535999999992</v>
      </c>
      <c r="E99" s="162"/>
    </row>
    <row r="100" spans="1:253">
      <c r="A100" s="555"/>
      <c r="E100" s="16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row>
    <row r="101" spans="1:253" s="1" customFormat="1">
      <c r="A101" s="17">
        <f>COUNT($A$5:A100)+1</f>
        <v>12</v>
      </c>
      <c r="B101" s="1" t="s">
        <v>1321</v>
      </c>
      <c r="C101" s="31"/>
      <c r="D101" s="75"/>
      <c r="E101" s="200"/>
      <c r="F101" s="163"/>
      <c r="G101" s="76"/>
      <c r="H101" s="76"/>
      <c r="I101" s="76"/>
      <c r="J101" s="77"/>
      <c r="L101" s="2"/>
      <c r="M101" s="2"/>
    </row>
    <row r="102" spans="1:253" s="1" customFormat="1" ht="60">
      <c r="A102" s="555"/>
      <c r="B102" s="6" t="s">
        <v>1322</v>
      </c>
      <c r="C102" s="31"/>
      <c r="D102" s="75"/>
      <c r="E102" s="200"/>
      <c r="F102" s="163"/>
      <c r="G102" s="76"/>
      <c r="H102" s="76"/>
      <c r="I102" s="76"/>
      <c r="J102" s="77"/>
      <c r="L102" s="2"/>
      <c r="M102" s="2"/>
    </row>
    <row r="103" spans="1:253" s="29" customFormat="1" ht="30">
      <c r="A103" s="555"/>
      <c r="B103" s="1" t="s">
        <v>517</v>
      </c>
      <c r="C103" s="31"/>
      <c r="D103" s="75"/>
      <c r="E103" s="200"/>
      <c r="F103" s="163"/>
    </row>
    <row r="104" spans="1:253" s="29" customFormat="1" ht="45">
      <c r="A104" s="23"/>
      <c r="B104" s="1" t="s">
        <v>518</v>
      </c>
      <c r="C104" s="29" t="s">
        <v>11</v>
      </c>
      <c r="D104" s="40">
        <f>(0.84*(10.23*3+3.14))*1.05</f>
        <v>29.838059999999999</v>
      </c>
      <c r="E104" s="162"/>
      <c r="F104" s="163"/>
    </row>
    <row r="105" spans="1:253">
      <c r="E105" s="162"/>
    </row>
    <row r="106" spans="1:253" s="1" customFormat="1" ht="30">
      <c r="A106" s="17">
        <f>COUNT($A$5:A105)+1</f>
        <v>13</v>
      </c>
      <c r="B106" s="1" t="s">
        <v>1323</v>
      </c>
      <c r="C106" s="31"/>
      <c r="D106" s="75"/>
      <c r="E106" s="200"/>
      <c r="F106" s="163"/>
      <c r="G106" s="76"/>
      <c r="H106" s="76"/>
      <c r="I106" s="76"/>
      <c r="J106" s="77"/>
      <c r="L106" s="2"/>
      <c r="M106" s="2"/>
    </row>
    <row r="107" spans="1:253" s="1" customFormat="1" ht="105">
      <c r="A107" s="555"/>
      <c r="B107" s="6" t="s">
        <v>1324</v>
      </c>
      <c r="C107" s="31"/>
      <c r="D107" s="75"/>
      <c r="E107" s="200"/>
      <c r="F107" s="163"/>
      <c r="G107" s="76"/>
      <c r="H107" s="76"/>
      <c r="I107" s="76"/>
      <c r="J107" s="77"/>
      <c r="L107" s="2"/>
      <c r="M107" s="2"/>
    </row>
    <row r="108" spans="1:253" s="29" customFormat="1" ht="30">
      <c r="A108" s="555"/>
      <c r="B108" s="1" t="s">
        <v>517</v>
      </c>
      <c r="C108" s="31"/>
      <c r="D108" s="75"/>
      <c r="E108" s="200"/>
      <c r="F108" s="163"/>
    </row>
    <row r="109" spans="1:253" s="29" customFormat="1" ht="45">
      <c r="A109" s="23"/>
      <c r="B109" s="1" t="s">
        <v>1325</v>
      </c>
    </row>
    <row r="110" spans="1:253">
      <c r="B110" s="1" t="s">
        <v>1326</v>
      </c>
      <c r="C110" s="29" t="s">
        <v>11</v>
      </c>
      <c r="D110" s="40">
        <v>1100</v>
      </c>
      <c r="E110" s="162"/>
    </row>
    <row r="111" spans="1:253">
      <c r="B111" s="1" t="s">
        <v>1327</v>
      </c>
      <c r="C111" s="29" t="s">
        <v>11</v>
      </c>
      <c r="D111" s="40">
        <f>$D$110</f>
        <v>1100</v>
      </c>
      <c r="E111" s="162"/>
    </row>
    <row r="112" spans="1:253">
      <c r="B112" s="1" t="s">
        <v>1328</v>
      </c>
      <c r="C112" s="29" t="s">
        <v>11</v>
      </c>
      <c r="D112" s="40">
        <f>$D$110</f>
        <v>1100</v>
      </c>
      <c r="E112" s="162"/>
    </row>
    <row r="113" spans="1:13">
      <c r="E113" s="162"/>
    </row>
    <row r="114" spans="1:13" s="1" customFormat="1" ht="30">
      <c r="A114" s="17">
        <f>COUNT($A$5:A113)+1</f>
        <v>14</v>
      </c>
      <c r="B114" s="1" t="s">
        <v>1329</v>
      </c>
      <c r="C114" s="31"/>
      <c r="D114" s="75"/>
      <c r="E114" s="200"/>
      <c r="F114" s="163"/>
      <c r="G114" s="76"/>
      <c r="H114" s="76"/>
      <c r="I114" s="76"/>
      <c r="J114" s="77"/>
      <c r="L114" s="2"/>
      <c r="M114" s="2"/>
    </row>
    <row r="115" spans="1:13" s="1" customFormat="1" ht="30">
      <c r="A115" s="17"/>
      <c r="B115" s="1" t="s">
        <v>1330</v>
      </c>
      <c r="C115" s="31"/>
      <c r="D115" s="75"/>
      <c r="E115" s="200"/>
      <c r="F115" s="163"/>
      <c r="G115" s="76"/>
      <c r="H115" s="76"/>
      <c r="I115" s="76"/>
      <c r="J115" s="77"/>
      <c r="L115" s="2"/>
      <c r="M115" s="2"/>
    </row>
    <row r="116" spans="1:13" s="1" customFormat="1" ht="45">
      <c r="A116" s="555"/>
      <c r="B116" s="1" t="s">
        <v>1331</v>
      </c>
      <c r="C116" s="31"/>
      <c r="D116" s="75"/>
      <c r="E116" s="200"/>
      <c r="F116" s="163"/>
      <c r="G116" s="76"/>
      <c r="H116" s="76"/>
      <c r="I116" s="76"/>
      <c r="J116" s="77"/>
      <c r="L116" s="2"/>
      <c r="M116" s="2"/>
    </row>
    <row r="117" spans="1:13" s="29" customFormat="1" ht="30">
      <c r="A117" s="555"/>
      <c r="B117" s="1" t="s">
        <v>1332</v>
      </c>
      <c r="C117" s="31"/>
      <c r="D117" s="75"/>
      <c r="E117" s="200"/>
      <c r="F117" s="163"/>
    </row>
    <row r="118" spans="1:13" s="29" customFormat="1" ht="45">
      <c r="A118" s="23"/>
      <c r="B118" s="1" t="s">
        <v>1333</v>
      </c>
      <c r="C118" s="29" t="s">
        <v>11</v>
      </c>
      <c r="D118" s="40">
        <f>(1.1*4.4*8+1.15*4.35*4+1.15*2.56+2.09*5.21+1.18*2.14*3+0.92*4.25+1.1*3.14*12+1.34*3.2+1.58*0.42+2*1.59+4.3*10.15*3+0.94*3.21*3)*1.05</f>
        <v>287.29606500000006</v>
      </c>
      <c r="E118" s="162"/>
      <c r="F118" s="163"/>
    </row>
    <row r="119" spans="1:13">
      <c r="E119" s="162"/>
    </row>
    <row r="120" spans="1:13" s="1" customFormat="1" ht="30">
      <c r="A120" s="17">
        <f>COUNT($A$5:A119)+1</f>
        <v>15</v>
      </c>
      <c r="B120" s="1" t="s">
        <v>1334</v>
      </c>
      <c r="C120" s="31"/>
      <c r="D120" s="75"/>
      <c r="E120" s="200"/>
      <c r="F120" s="163"/>
      <c r="G120" s="76"/>
      <c r="H120" s="76"/>
      <c r="I120" s="76"/>
      <c r="J120" s="77"/>
      <c r="L120" s="2"/>
      <c r="M120" s="2"/>
    </row>
    <row r="121" spans="1:13" s="1" customFormat="1" ht="45">
      <c r="A121" s="17"/>
      <c r="B121" s="1" t="s">
        <v>1335</v>
      </c>
      <c r="C121" s="31"/>
      <c r="D121" s="75"/>
      <c r="E121" s="200"/>
      <c r="F121" s="163"/>
      <c r="G121" s="76"/>
      <c r="H121" s="76"/>
      <c r="I121" s="76"/>
      <c r="J121" s="77"/>
      <c r="L121" s="2"/>
      <c r="M121" s="2"/>
    </row>
    <row r="122" spans="1:13" s="1" customFormat="1" ht="60">
      <c r="A122" s="17"/>
      <c r="B122" s="1" t="s">
        <v>1336</v>
      </c>
      <c r="C122" s="31"/>
      <c r="D122" s="75"/>
      <c r="E122" s="200"/>
      <c r="F122" s="163"/>
      <c r="G122" s="76"/>
      <c r="H122" s="76"/>
      <c r="I122" s="76"/>
      <c r="J122" s="77"/>
      <c r="L122" s="2"/>
      <c r="M122" s="2"/>
    </row>
    <row r="123" spans="1:13" s="1" customFormat="1" ht="45">
      <c r="A123" s="555"/>
      <c r="B123" s="1" t="s">
        <v>1342</v>
      </c>
      <c r="C123" s="31"/>
      <c r="D123" s="75"/>
      <c r="E123" s="200"/>
      <c r="F123" s="163"/>
      <c r="G123" s="76"/>
      <c r="H123" s="76"/>
      <c r="I123" s="76"/>
      <c r="J123" s="77"/>
      <c r="L123" s="2"/>
      <c r="M123" s="2"/>
    </row>
    <row r="124" spans="1:13" s="1" customFormat="1" ht="30">
      <c r="A124" s="555"/>
      <c r="B124" s="1" t="s">
        <v>1338</v>
      </c>
      <c r="C124" s="31"/>
      <c r="D124" s="75"/>
      <c r="E124" s="200"/>
      <c r="F124" s="163"/>
      <c r="G124" s="76"/>
      <c r="H124" s="76"/>
      <c r="I124" s="76"/>
      <c r="J124" s="77"/>
      <c r="L124" s="2"/>
      <c r="M124" s="2"/>
    </row>
    <row r="125" spans="1:13" s="29" customFormat="1" ht="30">
      <c r="A125" s="555"/>
      <c r="B125" s="1" t="s">
        <v>1337</v>
      </c>
      <c r="C125" s="31"/>
      <c r="D125" s="75"/>
      <c r="E125" s="200"/>
      <c r="F125" s="163"/>
    </row>
    <row r="126" spans="1:13" s="29" customFormat="1" ht="45">
      <c r="A126" s="555"/>
      <c r="B126" s="1" t="s">
        <v>1343</v>
      </c>
      <c r="C126" s="31"/>
      <c r="D126" s="75"/>
      <c r="E126" s="200"/>
      <c r="F126" s="163"/>
    </row>
    <row r="127" spans="1:13" s="29" customFormat="1" ht="45">
      <c r="A127" s="23"/>
      <c r="B127" s="1" t="s">
        <v>1339</v>
      </c>
      <c r="D127" s="40"/>
      <c r="E127" s="162"/>
      <c r="F127" s="163"/>
    </row>
    <row r="128" spans="1:13">
      <c r="B128" s="1" t="s">
        <v>1326</v>
      </c>
      <c r="C128" s="29" t="s">
        <v>11</v>
      </c>
      <c r="D128" s="40">
        <v>150</v>
      </c>
      <c r="E128" s="162"/>
    </row>
    <row r="129" spans="1:13">
      <c r="B129" s="1" t="s">
        <v>1327</v>
      </c>
      <c r="C129" s="29" t="s">
        <v>11</v>
      </c>
      <c r="D129" s="40">
        <f>$D$128</f>
        <v>150</v>
      </c>
      <c r="E129" s="162"/>
    </row>
    <row r="130" spans="1:13">
      <c r="B130" s="1" t="s">
        <v>1328</v>
      </c>
      <c r="C130" s="29" t="s">
        <v>11</v>
      </c>
      <c r="D130" s="40">
        <f>$D$128</f>
        <v>150</v>
      </c>
      <c r="E130" s="162"/>
    </row>
    <row r="131" spans="1:13">
      <c r="E131" s="162"/>
    </row>
    <row r="132" spans="1:13" s="1" customFormat="1" ht="30">
      <c r="A132" s="17">
        <f>COUNT($A$5:A131)+1</f>
        <v>16</v>
      </c>
      <c r="B132" s="1" t="s">
        <v>1356</v>
      </c>
      <c r="C132" s="31"/>
      <c r="D132" s="75"/>
      <c r="E132" s="200"/>
      <c r="F132" s="163"/>
      <c r="G132" s="76"/>
      <c r="H132" s="76"/>
      <c r="I132" s="76"/>
      <c r="J132" s="77"/>
      <c r="L132" s="2"/>
      <c r="M132" s="2"/>
    </row>
    <row r="133" spans="1:13" s="1" customFormat="1" ht="60">
      <c r="A133" s="17"/>
      <c r="B133" s="1" t="s">
        <v>1357</v>
      </c>
      <c r="C133" s="31"/>
      <c r="D133" s="75"/>
      <c r="E133" s="200"/>
      <c r="F133" s="163"/>
      <c r="G133" s="76"/>
      <c r="H133" s="76"/>
      <c r="I133" s="76"/>
      <c r="J133" s="77"/>
      <c r="L133" s="2"/>
      <c r="M133" s="2"/>
    </row>
    <row r="134" spans="1:13" s="1" customFormat="1" ht="45">
      <c r="A134" s="555"/>
      <c r="B134" s="1" t="s">
        <v>1342</v>
      </c>
      <c r="C134" s="31"/>
      <c r="D134" s="75"/>
      <c r="E134" s="200"/>
      <c r="F134" s="163"/>
      <c r="G134" s="76"/>
      <c r="H134" s="76"/>
      <c r="I134" s="76"/>
      <c r="J134" s="77"/>
      <c r="L134" s="2"/>
      <c r="M134" s="2"/>
    </row>
    <row r="135" spans="1:13" s="1" customFormat="1" ht="30">
      <c r="A135" s="555"/>
      <c r="B135" s="1" t="s">
        <v>1338</v>
      </c>
      <c r="C135" s="31"/>
      <c r="D135" s="75"/>
      <c r="E135" s="200"/>
      <c r="F135" s="163"/>
      <c r="G135" s="76"/>
      <c r="H135" s="76"/>
      <c r="I135" s="76"/>
      <c r="J135" s="77"/>
      <c r="L135" s="2"/>
      <c r="M135" s="2"/>
    </row>
    <row r="136" spans="1:13" s="29" customFormat="1" ht="30">
      <c r="A136" s="555"/>
      <c r="B136" s="1" t="s">
        <v>1337</v>
      </c>
      <c r="C136" s="31"/>
      <c r="D136" s="75"/>
      <c r="E136" s="200"/>
      <c r="F136" s="163"/>
    </row>
    <row r="137" spans="1:13" s="29" customFormat="1" ht="45">
      <c r="A137" s="555"/>
      <c r="B137" s="1" t="s">
        <v>1343</v>
      </c>
      <c r="C137" s="31"/>
      <c r="D137" s="75"/>
      <c r="E137" s="200"/>
      <c r="F137" s="163"/>
    </row>
    <row r="138" spans="1:13" s="29" customFormat="1" ht="45">
      <c r="A138" s="23"/>
      <c r="B138" s="1" t="s">
        <v>1339</v>
      </c>
      <c r="D138" s="40"/>
      <c r="E138" s="162"/>
      <c r="F138" s="163"/>
    </row>
    <row r="139" spans="1:13">
      <c r="B139" s="1" t="s">
        <v>630</v>
      </c>
      <c r="C139" s="29" t="s">
        <v>11</v>
      </c>
      <c r="D139" s="40">
        <v>150</v>
      </c>
      <c r="E139" s="162"/>
    </row>
    <row r="140" spans="1:13">
      <c r="B140" s="1" t="s">
        <v>1358</v>
      </c>
      <c r="C140" s="29" t="s">
        <v>11</v>
      </c>
      <c r="D140" s="40">
        <v>150</v>
      </c>
      <c r="E140" s="162"/>
    </row>
    <row r="141" spans="1:13">
      <c r="E141" s="162"/>
    </row>
    <row r="142" spans="1:13" s="1" customFormat="1" ht="30">
      <c r="A142" s="17">
        <f>COUNT($A$5:A141)+1</f>
        <v>17</v>
      </c>
      <c r="B142" s="1" t="s">
        <v>1348</v>
      </c>
      <c r="C142" s="31"/>
      <c r="D142" s="75"/>
      <c r="E142" s="200"/>
      <c r="F142" s="163"/>
      <c r="G142" s="76"/>
      <c r="H142" s="76"/>
      <c r="I142" s="76"/>
      <c r="J142" s="77"/>
      <c r="L142" s="2"/>
      <c r="M142" s="2"/>
    </row>
    <row r="143" spans="1:13" s="1" customFormat="1" ht="75">
      <c r="A143" s="17"/>
      <c r="B143" s="1" t="s">
        <v>1349</v>
      </c>
      <c r="C143" s="31"/>
      <c r="D143" s="75"/>
      <c r="E143" s="200"/>
      <c r="F143" s="163"/>
      <c r="G143" s="76"/>
      <c r="H143" s="76"/>
      <c r="I143" s="76"/>
      <c r="J143" s="77"/>
      <c r="L143" s="2"/>
      <c r="M143" s="2"/>
    </row>
    <row r="144" spans="1:13" s="1" customFormat="1" ht="45">
      <c r="A144" s="555"/>
      <c r="B144" s="1" t="s">
        <v>1341</v>
      </c>
      <c r="C144" s="31"/>
      <c r="D144" s="75"/>
      <c r="E144" s="200"/>
      <c r="F144" s="163"/>
      <c r="G144" s="76"/>
      <c r="H144" s="76"/>
      <c r="I144" s="76"/>
      <c r="J144" s="77"/>
      <c r="L144" s="2"/>
      <c r="M144" s="2"/>
    </row>
    <row r="145" spans="1:13" s="29" customFormat="1" ht="30">
      <c r="A145" s="555"/>
      <c r="B145" s="1" t="s">
        <v>1337</v>
      </c>
      <c r="C145" s="31"/>
      <c r="D145" s="75"/>
      <c r="E145" s="200"/>
      <c r="F145" s="163"/>
    </row>
    <row r="146" spans="1:13" s="29" customFormat="1" ht="45">
      <c r="A146" s="23"/>
      <c r="B146" s="1" t="s">
        <v>1339</v>
      </c>
      <c r="C146" s="29" t="s">
        <v>11</v>
      </c>
      <c r="D146" s="40">
        <f>(8.5*1.75+5.39*4*1.19+5.39*4*1.39+(2.88+15.05+0.3*4)*1.2+(3.24+0.14*2+0.3)*(1.2*12)+3.2*0.85+3.66*1.4+10.3*1.7*6+(12.11+12.16)*1.5+3.54*0.8+9.1*1+4.7*1+(9.46+7.76+(4.43+0.3+0.19*2)*2)*1+(4.43+0.3+0.19*2)*5*1.5)*1.1-100</f>
        <v>318.18678</v>
      </c>
      <c r="E146" s="162"/>
      <c r="F146" s="163"/>
    </row>
    <row r="147" spans="1:13" s="29" customFormat="1">
      <c r="A147" s="23"/>
      <c r="B147" s="1"/>
      <c r="D147" s="40"/>
      <c r="E147" s="162"/>
      <c r="F147" s="163"/>
    </row>
    <row r="148" spans="1:13" s="1" customFormat="1" ht="45">
      <c r="A148" s="17">
        <f>COUNT($A$5:A146)+1</f>
        <v>18</v>
      </c>
      <c r="B148" s="1" t="s">
        <v>1355</v>
      </c>
      <c r="C148" s="31"/>
      <c r="D148" s="75"/>
      <c r="E148" s="200"/>
      <c r="F148" s="163"/>
      <c r="G148" s="76"/>
      <c r="H148" s="76"/>
      <c r="I148" s="76"/>
      <c r="J148" s="77"/>
      <c r="L148" s="2"/>
      <c r="M148" s="2"/>
    </row>
    <row r="149" spans="1:13" s="1" customFormat="1" ht="75">
      <c r="A149" s="17"/>
      <c r="B149" s="1" t="s">
        <v>1353</v>
      </c>
      <c r="C149" s="31"/>
      <c r="D149" s="75"/>
      <c r="E149" s="200"/>
      <c r="F149" s="163"/>
      <c r="G149" s="76"/>
      <c r="H149" s="76"/>
      <c r="I149" s="76"/>
      <c r="J149" s="77"/>
      <c r="L149" s="2"/>
      <c r="M149" s="2"/>
    </row>
    <row r="150" spans="1:13" s="1" customFormat="1" ht="45">
      <c r="A150" s="555"/>
      <c r="B150" s="1" t="s">
        <v>1354</v>
      </c>
      <c r="C150" s="31"/>
      <c r="D150" s="75"/>
      <c r="E150" s="200"/>
      <c r="F150" s="163"/>
      <c r="G150" s="76"/>
      <c r="H150" s="76"/>
      <c r="I150" s="76"/>
      <c r="J150" s="77"/>
      <c r="L150" s="2"/>
      <c r="M150" s="2"/>
    </row>
    <row r="151" spans="1:13" s="29" customFormat="1" ht="30">
      <c r="A151" s="555"/>
      <c r="B151" s="1" t="s">
        <v>1337</v>
      </c>
      <c r="C151" s="31"/>
      <c r="D151" s="75"/>
      <c r="E151" s="200"/>
      <c r="F151" s="163"/>
    </row>
    <row r="152" spans="1:13" s="29" customFormat="1" ht="45">
      <c r="A152" s="23"/>
      <c r="B152" s="1" t="s">
        <v>1339</v>
      </c>
      <c r="C152" s="29" t="s">
        <v>11</v>
      </c>
      <c r="D152" s="40">
        <f>((7.19+34.31+43.6+2.87)*0.5+(17.8+13.6+8.6+2.9+2.24+2.15+3.52+2.75+2.5+5.35+4+3.04))*1.1</f>
        <v>123.67850000000001</v>
      </c>
      <c r="E152" s="162"/>
      <c r="F152" s="163"/>
    </row>
    <row r="153" spans="1:13">
      <c r="E153" s="162"/>
    </row>
    <row r="154" spans="1:13" s="1" customFormat="1" ht="30">
      <c r="A154" s="17">
        <f>COUNT($A$5:A153)+1</f>
        <v>19</v>
      </c>
      <c r="B154" s="1" t="s">
        <v>1348</v>
      </c>
      <c r="C154" s="31"/>
      <c r="D154" s="75"/>
      <c r="E154" s="200"/>
      <c r="F154" s="163"/>
      <c r="G154" s="76"/>
      <c r="H154" s="76"/>
      <c r="I154" s="76"/>
      <c r="J154" s="77"/>
      <c r="L154" s="2"/>
      <c r="M154" s="2"/>
    </row>
    <row r="155" spans="1:13" s="1" customFormat="1" ht="75">
      <c r="A155" s="17"/>
      <c r="B155" s="1" t="s">
        <v>1349</v>
      </c>
      <c r="C155" s="31"/>
      <c r="D155" s="75"/>
      <c r="E155" s="200"/>
      <c r="F155" s="163"/>
      <c r="G155" s="76"/>
      <c r="H155" s="76"/>
      <c r="I155" s="76"/>
      <c r="J155" s="77"/>
      <c r="L155" s="2"/>
      <c r="M155" s="2"/>
    </row>
    <row r="156" spans="1:13" s="1" customFormat="1" ht="45">
      <c r="A156" s="555"/>
      <c r="B156" s="1" t="s">
        <v>1352</v>
      </c>
      <c r="C156" s="31"/>
      <c r="D156" s="75"/>
      <c r="E156" s="200"/>
      <c r="F156" s="163"/>
      <c r="G156" s="76"/>
      <c r="H156" s="76"/>
      <c r="I156" s="76"/>
      <c r="J156" s="77"/>
      <c r="L156" s="2"/>
      <c r="M156" s="2"/>
    </row>
    <row r="157" spans="1:13" s="29" customFormat="1" ht="30">
      <c r="A157" s="555"/>
      <c r="B157" s="1" t="s">
        <v>1337</v>
      </c>
      <c r="C157" s="31"/>
      <c r="D157" s="75"/>
      <c r="E157" s="200"/>
      <c r="F157" s="163"/>
    </row>
    <row r="158" spans="1:13" s="29" customFormat="1" ht="45">
      <c r="A158" s="23"/>
      <c r="B158" s="1" t="s">
        <v>1339</v>
      </c>
      <c r="C158" s="29" t="s">
        <v>11</v>
      </c>
      <c r="D158" s="40">
        <v>40</v>
      </c>
      <c r="E158" s="162"/>
      <c r="F158" s="163"/>
    </row>
    <row r="159" spans="1:13">
      <c r="E159" s="162"/>
    </row>
    <row r="160" spans="1:13" s="1" customFormat="1" ht="30">
      <c r="A160" s="17">
        <f>COUNT($A$5:A159)+1</f>
        <v>20</v>
      </c>
      <c r="B160" s="1" t="s">
        <v>1351</v>
      </c>
      <c r="C160" s="31"/>
      <c r="D160" s="75"/>
      <c r="E160" s="200"/>
      <c r="F160" s="163"/>
      <c r="G160" s="76"/>
      <c r="H160" s="76"/>
      <c r="I160" s="76"/>
      <c r="J160" s="77"/>
      <c r="L160" s="2"/>
      <c r="M160" s="2"/>
    </row>
    <row r="161" spans="1:13" s="1" customFormat="1" ht="75">
      <c r="A161" s="17"/>
      <c r="B161" s="1" t="s">
        <v>1349</v>
      </c>
      <c r="C161" s="31"/>
      <c r="D161" s="75"/>
      <c r="E161" s="200"/>
      <c r="F161" s="163"/>
      <c r="G161" s="76"/>
      <c r="H161" s="76"/>
      <c r="I161" s="76"/>
      <c r="J161" s="77"/>
      <c r="L161" s="2"/>
      <c r="M161" s="2"/>
    </row>
    <row r="162" spans="1:13" s="1" customFormat="1" ht="45">
      <c r="A162" s="555"/>
      <c r="B162" s="1" t="s">
        <v>1352</v>
      </c>
      <c r="C162" s="31"/>
      <c r="D162" s="75"/>
      <c r="E162" s="200"/>
      <c r="F162" s="163"/>
      <c r="G162" s="76"/>
      <c r="H162" s="76"/>
      <c r="I162" s="76"/>
      <c r="J162" s="77"/>
      <c r="L162" s="2"/>
      <c r="M162" s="2"/>
    </row>
    <row r="163" spans="1:13" s="29" customFormat="1" ht="30">
      <c r="A163" s="555"/>
      <c r="B163" s="1" t="s">
        <v>1337</v>
      </c>
      <c r="C163" s="31"/>
      <c r="D163" s="75"/>
      <c r="E163" s="200"/>
      <c r="F163" s="163"/>
    </row>
    <row r="164" spans="1:13" s="29" customFormat="1" ht="45">
      <c r="A164" s="23"/>
      <c r="B164" s="1" t="s">
        <v>1339</v>
      </c>
      <c r="C164" s="29" t="s">
        <v>11</v>
      </c>
      <c r="D164" s="40">
        <v>100</v>
      </c>
      <c r="E164" s="162"/>
      <c r="F164" s="163"/>
    </row>
    <row r="165" spans="1:13">
      <c r="E165" s="162"/>
    </row>
    <row r="166" spans="1:13" s="1" customFormat="1" ht="30">
      <c r="A166" s="17">
        <f>COUNT($A$5:A165)+1</f>
        <v>21</v>
      </c>
      <c r="B166" s="1" t="s">
        <v>1347</v>
      </c>
      <c r="C166" s="31"/>
      <c r="D166" s="75"/>
      <c r="E166" s="200"/>
      <c r="F166" s="163"/>
      <c r="G166" s="76"/>
      <c r="H166" s="76"/>
      <c r="I166" s="76"/>
      <c r="J166" s="77"/>
      <c r="L166" s="2"/>
      <c r="M166" s="2"/>
    </row>
    <row r="167" spans="1:13" s="1" customFormat="1" ht="90">
      <c r="A167" s="17"/>
      <c r="B167" s="1" t="s">
        <v>1340</v>
      </c>
      <c r="C167" s="31"/>
      <c r="D167" s="75"/>
      <c r="E167" s="200"/>
      <c r="F167" s="163"/>
      <c r="G167" s="76"/>
      <c r="H167" s="76"/>
      <c r="I167" s="76"/>
      <c r="J167" s="77"/>
      <c r="L167" s="2"/>
      <c r="M167" s="2"/>
    </row>
    <row r="168" spans="1:13" s="29" customFormat="1" ht="75">
      <c r="A168" s="555"/>
      <c r="B168" s="1" t="s">
        <v>1350</v>
      </c>
      <c r="C168" s="31"/>
      <c r="D168" s="75"/>
      <c r="E168" s="200"/>
      <c r="F168" s="163"/>
    </row>
    <row r="169" spans="1:13" s="29" customFormat="1" ht="33.75" customHeight="1">
      <c r="A169" s="23"/>
      <c r="B169" s="1" t="s">
        <v>1339</v>
      </c>
      <c r="C169" s="29" t="s">
        <v>11</v>
      </c>
      <c r="D169" s="40">
        <f>(8.5*1.75+5.39*4*1.19+5.39*4*1.39+(2.88+15.05+0.3*4)*1.2+(3.24+0.14*2+0.3)*(1.2*12)+3.2*0.85+3.66*1.4+10.3*1.7*6+(12.11+12.16)*1.5+3.54*0.8+9.1*1+4.7*1+(9.46+7.76+(4.43+0.3+0.19*2)*2)*1+(4.43+0.3+0.19*2)*5*1.5)*1.1</f>
        <v>418.18678</v>
      </c>
      <c r="E169" s="162"/>
      <c r="F169" s="163"/>
    </row>
    <row r="170" spans="1:13">
      <c r="E170" s="162"/>
    </row>
    <row r="172" spans="1:13" ht="75">
      <c r="A172" s="17">
        <f>COUNT($A$5:A171)+1</f>
        <v>22</v>
      </c>
      <c r="B172" s="1" t="s">
        <v>515</v>
      </c>
      <c r="E172" s="162"/>
    </row>
    <row r="173" spans="1:13" ht="30">
      <c r="B173" s="1" t="s">
        <v>40</v>
      </c>
      <c r="E173" s="162"/>
    </row>
    <row r="174" spans="1:13" ht="51.75" customHeight="1">
      <c r="B174" s="1" t="s">
        <v>42</v>
      </c>
      <c r="E174" s="162"/>
    </row>
    <row r="175" spans="1:13" ht="30">
      <c r="B175" s="1" t="s">
        <v>514</v>
      </c>
      <c r="C175" s="29" t="s">
        <v>11</v>
      </c>
      <c r="D175" s="40">
        <v>280</v>
      </c>
      <c r="E175" s="162"/>
    </row>
    <row r="177" spans="1:6" s="59" customFormat="1" ht="75">
      <c r="A177" s="133">
        <f>COUNT($A$5:A176)+1</f>
        <v>23</v>
      </c>
      <c r="B177" s="1" t="s">
        <v>520</v>
      </c>
      <c r="C177" s="58"/>
      <c r="D177" s="130"/>
      <c r="E177" s="169"/>
      <c r="F177" s="163"/>
    </row>
    <row r="178" spans="1:6" s="59" customFormat="1">
      <c r="A178" s="133"/>
      <c r="B178" s="57" t="s">
        <v>521</v>
      </c>
      <c r="C178" s="58"/>
      <c r="D178" s="130"/>
      <c r="E178" s="169"/>
      <c r="F178" s="163"/>
    </row>
    <row r="179" spans="1:6" s="59" customFormat="1">
      <c r="A179" s="133"/>
      <c r="B179" s="57" t="s">
        <v>1359</v>
      </c>
      <c r="C179" s="58" t="s">
        <v>43</v>
      </c>
      <c r="D179" s="130">
        <v>50</v>
      </c>
      <c r="E179" s="169"/>
      <c r="F179" s="163"/>
    </row>
    <row r="180" spans="1:6" s="59" customFormat="1">
      <c r="A180" s="133"/>
      <c r="B180" s="57" t="s">
        <v>1360</v>
      </c>
      <c r="C180" s="58" t="s">
        <v>43</v>
      </c>
      <c r="D180" s="130">
        <v>50</v>
      </c>
      <c r="E180" s="169"/>
      <c r="F180" s="163"/>
    </row>
    <row r="181" spans="1:6" s="59" customFormat="1">
      <c r="A181" s="133"/>
      <c r="B181" s="57" t="s">
        <v>1361</v>
      </c>
      <c r="C181" s="58" t="s">
        <v>43</v>
      </c>
      <c r="D181" s="130">
        <v>50</v>
      </c>
      <c r="E181" s="169"/>
      <c r="F181" s="163"/>
    </row>
    <row r="182" spans="1:6" s="59" customFormat="1">
      <c r="A182" s="133"/>
      <c r="B182" s="57" t="s">
        <v>1362</v>
      </c>
      <c r="C182" s="58" t="s">
        <v>43</v>
      </c>
      <c r="D182" s="130">
        <v>50</v>
      </c>
      <c r="E182" s="169"/>
      <c r="F182" s="163"/>
    </row>
    <row r="184" spans="1:6" s="59" customFormat="1">
      <c r="A184" s="133"/>
      <c r="B184" s="57"/>
      <c r="C184" s="58"/>
      <c r="D184" s="130"/>
      <c r="E184" s="169"/>
      <c r="F184" s="163"/>
    </row>
    <row r="185" spans="1:6" s="59" customFormat="1" ht="45">
      <c r="A185" s="133">
        <f>COUNT($A$5:A184)+1</f>
        <v>24</v>
      </c>
      <c r="B185" s="1" t="s">
        <v>522</v>
      </c>
      <c r="C185" s="58"/>
      <c r="D185" s="130"/>
      <c r="E185" s="169"/>
      <c r="F185" s="163"/>
    </row>
    <row r="186" spans="1:6" s="59" customFormat="1" ht="30">
      <c r="A186" s="133"/>
      <c r="B186" s="1" t="s">
        <v>523</v>
      </c>
      <c r="C186" s="58"/>
      <c r="D186" s="130"/>
      <c r="E186" s="169"/>
      <c r="F186" s="163"/>
    </row>
    <row r="187" spans="1:6" s="59" customFormat="1" ht="120">
      <c r="A187" s="133"/>
      <c r="B187" s="1" t="s">
        <v>524</v>
      </c>
      <c r="C187" s="58"/>
      <c r="D187" s="130"/>
      <c r="E187" s="169"/>
      <c r="F187" s="163"/>
    </row>
    <row r="188" spans="1:6" s="59" customFormat="1" ht="60">
      <c r="A188" s="133"/>
      <c r="B188" s="1" t="s">
        <v>525</v>
      </c>
      <c r="C188" s="58"/>
      <c r="D188" s="130"/>
      <c r="E188" s="169"/>
      <c r="F188" s="163"/>
    </row>
    <row r="189" spans="1:6" s="59" customFormat="1" ht="30">
      <c r="A189" s="133"/>
      <c r="B189" s="1" t="s">
        <v>526</v>
      </c>
      <c r="C189" s="58"/>
      <c r="D189" s="130"/>
      <c r="E189" s="169"/>
      <c r="F189" s="163"/>
    </row>
    <row r="190" spans="1:6" s="59" customFormat="1">
      <c r="A190" s="133"/>
      <c r="B190" s="57" t="s">
        <v>519</v>
      </c>
      <c r="C190" s="58" t="s">
        <v>11</v>
      </c>
      <c r="D190" s="130">
        <v>20</v>
      </c>
      <c r="E190" s="169"/>
      <c r="F190" s="163"/>
    </row>
    <row r="191" spans="1:6" s="59" customFormat="1">
      <c r="A191" s="133"/>
      <c r="B191" s="57"/>
      <c r="C191" s="58"/>
      <c r="D191" s="130"/>
      <c r="E191" s="169"/>
      <c r="F191" s="163"/>
    </row>
    <row r="192" spans="1:6" s="59" customFormat="1">
      <c r="A192" s="133"/>
      <c r="B192" s="57"/>
      <c r="C192" s="58"/>
      <c r="D192" s="130"/>
      <c r="E192" s="169"/>
      <c r="F192" s="163"/>
    </row>
    <row r="193" spans="1:6" s="59" customFormat="1" ht="45">
      <c r="A193" s="133">
        <f>COUNT($A$5:A190)+1</f>
        <v>25</v>
      </c>
      <c r="B193" s="57" t="s">
        <v>528</v>
      </c>
      <c r="C193" s="58"/>
      <c r="D193" s="130"/>
      <c r="E193" s="169"/>
      <c r="F193" s="163"/>
    </row>
    <row r="194" spans="1:6" s="59" customFormat="1" ht="30">
      <c r="A194" s="133"/>
      <c r="B194" s="57" t="s">
        <v>40</v>
      </c>
      <c r="C194" s="58"/>
      <c r="D194" s="130"/>
      <c r="E194" s="169"/>
      <c r="F194" s="163"/>
    </row>
    <row r="195" spans="1:6" s="59" customFormat="1" ht="45">
      <c r="A195" s="134"/>
      <c r="B195" s="57" t="s">
        <v>527</v>
      </c>
      <c r="C195" s="58"/>
      <c r="D195" s="130"/>
      <c r="E195" s="169"/>
      <c r="F195" s="163"/>
    </row>
    <row r="196" spans="1:6" s="59" customFormat="1">
      <c r="A196" s="134"/>
      <c r="B196" s="57" t="s">
        <v>46</v>
      </c>
      <c r="C196" s="58" t="s">
        <v>11</v>
      </c>
      <c r="D196" s="130">
        <v>80</v>
      </c>
      <c r="E196" s="169"/>
      <c r="F196" s="163"/>
    </row>
    <row r="197" spans="1:6" s="59" customFormat="1">
      <c r="A197" s="134"/>
      <c r="B197" s="57"/>
      <c r="C197" s="58"/>
      <c r="D197" s="130"/>
      <c r="E197" s="169"/>
      <c r="F197" s="163"/>
    </row>
    <row r="198" spans="1:6">
      <c r="E198" s="162"/>
    </row>
    <row r="199" spans="1:6">
      <c r="E199" s="162"/>
    </row>
    <row r="200" spans="1:6" ht="45">
      <c r="A200" s="17">
        <f>COUNT($A$5:A199)+1</f>
        <v>26</v>
      </c>
      <c r="B200" s="1" t="s">
        <v>1451</v>
      </c>
      <c r="E200" s="162"/>
    </row>
    <row r="201" spans="1:6" ht="45">
      <c r="B201" s="1" t="s">
        <v>513</v>
      </c>
      <c r="C201" s="29" t="s">
        <v>11</v>
      </c>
      <c r="D201" s="40">
        <v>70</v>
      </c>
      <c r="E201" s="162"/>
    </row>
    <row r="202" spans="1:6">
      <c r="E202" s="162"/>
    </row>
    <row r="203" spans="1:6" ht="75">
      <c r="A203" s="17">
        <f>COUNT($A$5:A202)+1</f>
        <v>27</v>
      </c>
      <c r="B203" s="1" t="s">
        <v>1678</v>
      </c>
      <c r="E203" s="162"/>
    </row>
    <row r="204" spans="1:6" ht="45">
      <c r="B204" s="1" t="s">
        <v>1679</v>
      </c>
      <c r="E204" s="162"/>
    </row>
    <row r="205" spans="1:6" ht="75">
      <c r="B205" s="1" t="s">
        <v>1680</v>
      </c>
      <c r="E205" s="162"/>
    </row>
    <row r="206" spans="1:6" ht="135">
      <c r="B206" s="1" t="s">
        <v>1681</v>
      </c>
      <c r="E206" s="162"/>
    </row>
    <row r="207" spans="1:6" ht="45">
      <c r="B207" s="1" t="s">
        <v>1682</v>
      </c>
      <c r="E207" s="162"/>
    </row>
    <row r="208" spans="1:6">
      <c r="B208" s="1" t="s">
        <v>225</v>
      </c>
      <c r="C208" s="29" t="s">
        <v>130</v>
      </c>
      <c r="D208" s="40">
        <v>20</v>
      </c>
      <c r="E208" s="162"/>
    </row>
    <row r="209" spans="1:6">
      <c r="E209" s="162"/>
    </row>
    <row r="213" spans="1:6">
      <c r="E213" s="162"/>
    </row>
    <row r="214" spans="1:6">
      <c r="A214" s="172" t="s">
        <v>246</v>
      </c>
      <c r="B214" s="173" t="s">
        <v>29</v>
      </c>
      <c r="C214" s="174"/>
      <c r="D214" s="175"/>
      <c r="E214" s="176"/>
      <c r="F214" s="177"/>
    </row>
  </sheetData>
  <pageMargins left="0.7" right="0.7" top="0.78604166666666664" bottom="0.75" header="0.3" footer="0.3"/>
  <pageSetup paperSize="9" scale="77"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ignoredErrors>
    <ignoredError sqref="D40 D50" unlockedFormula="1"/>
  </ignoredErrors>
</worksheet>
</file>

<file path=xl/worksheets/sheet15.xml><?xml version="1.0" encoding="utf-8"?>
<worksheet xmlns="http://schemas.openxmlformats.org/spreadsheetml/2006/main" xmlns:r="http://schemas.openxmlformats.org/officeDocument/2006/relationships">
  <sheetPr>
    <tabColor rgb="FF0070C0"/>
  </sheetPr>
  <dimension ref="A1:H54"/>
  <sheetViews>
    <sheetView showZeros="0" view="pageBreakPreview" zoomScale="85" zoomScaleNormal="85" zoomScaleSheetLayoutView="85" workbookViewId="0">
      <selection activeCell="E2" sqref="E2:F57"/>
    </sheetView>
  </sheetViews>
  <sheetFormatPr defaultColWidth="8.85546875" defaultRowHeight="15"/>
  <cols>
    <col min="1" max="1" width="8.7109375" style="17" customWidth="1"/>
    <col min="2" max="2" width="45.140625" style="1" customWidth="1"/>
    <col min="3" max="3" width="8.5703125" style="29" customWidth="1"/>
    <col min="4" max="4" width="10.7109375" style="40" customWidth="1"/>
    <col min="5" max="5" width="13.7109375" style="163" customWidth="1"/>
    <col min="6" max="6" width="16.7109375" style="163" customWidth="1"/>
    <col min="7" max="7" width="10.7109375" style="2" bestFit="1" customWidth="1"/>
    <col min="8" max="8" width="12" style="2" bestFit="1" customWidth="1"/>
    <col min="9" max="16384" width="8.85546875" style="2"/>
  </cols>
  <sheetData>
    <row r="1" spans="1:6">
      <c r="A1" s="118" t="s">
        <v>260</v>
      </c>
      <c r="B1" s="107" t="s">
        <v>261</v>
      </c>
      <c r="C1" s="64" t="s">
        <v>262</v>
      </c>
      <c r="D1" s="114" t="s">
        <v>263</v>
      </c>
      <c r="E1" s="158" t="s">
        <v>264</v>
      </c>
      <c r="F1" s="159" t="s">
        <v>265</v>
      </c>
    </row>
    <row r="3" spans="1:6">
      <c r="A3" s="17" t="s">
        <v>247</v>
      </c>
      <c r="B3" s="25" t="s">
        <v>589</v>
      </c>
      <c r="E3" s="162"/>
    </row>
    <row r="4" spans="1:6">
      <c r="B4" s="25"/>
      <c r="E4" s="162"/>
    </row>
    <row r="5" spans="1:6">
      <c r="B5" s="1" t="s">
        <v>1641</v>
      </c>
      <c r="E5" s="162"/>
    </row>
    <row r="6" spans="1:6" ht="75">
      <c r="B6" s="1" t="s">
        <v>1637</v>
      </c>
      <c r="E6" s="162"/>
    </row>
    <row r="7" spans="1:6" ht="45">
      <c r="B7" s="1" t="s">
        <v>1638</v>
      </c>
      <c r="E7" s="162"/>
    </row>
    <row r="8" spans="1:6" ht="45">
      <c r="B8" s="1" t="s">
        <v>1639</v>
      </c>
      <c r="E8" s="162"/>
    </row>
    <row r="9" spans="1:6" ht="45">
      <c r="B9" s="1" t="s">
        <v>1640</v>
      </c>
      <c r="E9" s="162"/>
    </row>
    <row r="10" spans="1:6">
      <c r="B10" s="25"/>
      <c r="E10" s="162"/>
    </row>
    <row r="11" spans="1:6">
      <c r="E11" s="162"/>
    </row>
    <row r="12" spans="1:6">
      <c r="B12" s="25"/>
      <c r="E12" s="162"/>
    </row>
    <row r="13" spans="1:6">
      <c r="B13" s="25"/>
      <c r="E13" s="162"/>
    </row>
    <row r="14" spans="1:6">
      <c r="B14" s="25"/>
      <c r="E14" s="162"/>
    </row>
    <row r="15" spans="1:6">
      <c r="E15" s="162"/>
    </row>
    <row r="16" spans="1:6" ht="30">
      <c r="A16" s="17">
        <f>COUNT(#REF!)+1</f>
        <v>1</v>
      </c>
      <c r="B16" s="1" t="s">
        <v>1254</v>
      </c>
      <c r="E16" s="162"/>
    </row>
    <row r="17" spans="1:6" ht="30">
      <c r="B17" s="1" t="s">
        <v>3387</v>
      </c>
      <c r="E17" s="162"/>
    </row>
    <row r="18" spans="1:6" ht="105">
      <c r="B18" s="1" t="s">
        <v>1255</v>
      </c>
      <c r="E18" s="162"/>
    </row>
    <row r="19" spans="1:6" s="80" customFormat="1" ht="30">
      <c r="A19" s="134"/>
      <c r="B19" s="1" t="s">
        <v>1256</v>
      </c>
      <c r="C19" s="58"/>
      <c r="D19" s="130"/>
      <c r="E19" s="169"/>
      <c r="F19" s="169"/>
    </row>
    <row r="20" spans="1:6" s="80" customFormat="1" ht="30">
      <c r="A20" s="134"/>
      <c r="B20" s="1" t="s">
        <v>591</v>
      </c>
      <c r="C20" s="58"/>
      <c r="D20" s="130"/>
      <c r="E20" s="169"/>
      <c r="F20" s="169"/>
    </row>
    <row r="21" spans="1:6" s="80" customFormat="1" ht="120">
      <c r="A21" s="134"/>
      <c r="B21" s="1" t="s">
        <v>1258</v>
      </c>
      <c r="C21" s="58"/>
      <c r="D21" s="130"/>
      <c r="E21" s="169"/>
      <c r="F21" s="169"/>
    </row>
    <row r="22" spans="1:6" s="80" customFormat="1" ht="75">
      <c r="A22" s="134"/>
      <c r="B22" s="1" t="s">
        <v>592</v>
      </c>
      <c r="C22" s="58"/>
      <c r="D22" s="130"/>
      <c r="E22" s="169"/>
      <c r="F22" s="169"/>
    </row>
    <row r="23" spans="1:6" ht="45">
      <c r="B23" s="1" t="s">
        <v>1257</v>
      </c>
    </row>
    <row r="24" spans="1:6">
      <c r="B24" s="1" t="s">
        <v>593</v>
      </c>
      <c r="C24" s="29" t="s">
        <v>11</v>
      </c>
      <c r="D24" s="40">
        <v>1500</v>
      </c>
      <c r="E24" s="162"/>
    </row>
    <row r="25" spans="1:6">
      <c r="B25" s="1" t="s">
        <v>1259</v>
      </c>
      <c r="C25" s="29" t="s">
        <v>130</v>
      </c>
      <c r="D25" s="40">
        <f>(44.38+47.81)*1.1</f>
        <v>101.40900000000001</v>
      </c>
      <c r="E25" s="162"/>
    </row>
    <row r="26" spans="1:6">
      <c r="B26" s="1" t="s">
        <v>1260</v>
      </c>
      <c r="C26" s="29" t="s">
        <v>130</v>
      </c>
      <c r="D26" s="40">
        <f>(20.09+9.78+2.9+11.14)*1.1</f>
        <v>48.301000000000002</v>
      </c>
      <c r="E26" s="162"/>
    </row>
    <row r="27" spans="1:6">
      <c r="B27" s="1" t="s">
        <v>1261</v>
      </c>
      <c r="C27" s="29" t="s">
        <v>130</v>
      </c>
      <c r="D27" s="40">
        <f>(7.13+8+5.87+5.92+7.25*2+7.75*6+4.69+3.4)*1.1</f>
        <v>105.61100000000002</v>
      </c>
      <c r="E27" s="162"/>
    </row>
    <row r="28" spans="1:6">
      <c r="B28" s="1" t="s">
        <v>1262</v>
      </c>
      <c r="C28" s="29" t="s">
        <v>130</v>
      </c>
      <c r="D28" s="40">
        <f>(43.94*2+2.95+9.78+11.3*3+50.54+44.39)*1.1</f>
        <v>252.38400000000001</v>
      </c>
      <c r="E28" s="162"/>
    </row>
    <row r="29" spans="1:6">
      <c r="A29" s="2"/>
      <c r="E29" s="162"/>
    </row>
    <row r="30" spans="1:6">
      <c r="A30" s="17">
        <f>COUNT($A$16:A29)+1</f>
        <v>2</v>
      </c>
      <c r="B30" s="25" t="s">
        <v>1267</v>
      </c>
      <c r="E30" s="162"/>
    </row>
    <row r="31" spans="1:6">
      <c r="B31" s="1" t="s">
        <v>1268</v>
      </c>
      <c r="E31" s="162"/>
    </row>
    <row r="32" spans="1:6" ht="45">
      <c r="B32" s="1" t="s">
        <v>1584</v>
      </c>
      <c r="E32" s="162"/>
    </row>
    <row r="33" spans="1:8" ht="195">
      <c r="B33" s="1" t="s">
        <v>1264</v>
      </c>
      <c r="E33" s="162"/>
    </row>
    <row r="34" spans="1:8" s="80" customFormat="1" ht="30">
      <c r="A34" s="134"/>
      <c r="B34" s="1" t="s">
        <v>1585</v>
      </c>
      <c r="C34" s="58"/>
      <c r="D34" s="130"/>
      <c r="E34" s="169"/>
      <c r="F34" s="169"/>
    </row>
    <row r="35" spans="1:8" s="80" customFormat="1" ht="75">
      <c r="A35" s="134"/>
      <c r="B35" s="1" t="s">
        <v>1265</v>
      </c>
      <c r="C35" s="58"/>
      <c r="D35" s="130"/>
      <c r="E35" s="169"/>
      <c r="F35" s="169"/>
    </row>
    <row r="36" spans="1:8" s="80" customFormat="1" ht="135.75" customHeight="1">
      <c r="A36" s="134"/>
      <c r="B36" s="1" t="s">
        <v>1266</v>
      </c>
      <c r="C36" s="58"/>
      <c r="D36" s="130"/>
      <c r="E36" s="169"/>
      <c r="F36" s="169"/>
    </row>
    <row r="37" spans="1:8">
      <c r="B37" s="1" t="s">
        <v>594</v>
      </c>
      <c r="C37" s="29" t="s">
        <v>11</v>
      </c>
      <c r="D37" s="40">
        <f>(1.13*10.4*2+1.13*14.31)*1.15</f>
        <v>45.625444999999992</v>
      </c>
      <c r="E37" s="162"/>
    </row>
    <row r="38" spans="1:8">
      <c r="E38" s="162"/>
    </row>
    <row r="39" spans="1:8" ht="33.75" customHeight="1">
      <c r="A39" s="17">
        <f>COUNT($A$16:A38)+1</f>
        <v>3</v>
      </c>
      <c r="B39" s="25" t="s">
        <v>1273</v>
      </c>
      <c r="E39" s="162"/>
    </row>
    <row r="40" spans="1:8" ht="60">
      <c r="B40" s="1" t="s">
        <v>1269</v>
      </c>
      <c r="E40" s="162"/>
    </row>
    <row r="41" spans="1:8">
      <c r="B41" s="1" t="s">
        <v>1270</v>
      </c>
      <c r="E41" s="162"/>
    </row>
    <row r="42" spans="1:8" ht="30">
      <c r="B42" s="1" t="s">
        <v>1271</v>
      </c>
      <c r="E42" s="162"/>
    </row>
    <row r="43" spans="1:8" ht="45">
      <c r="B43" s="1" t="s">
        <v>1272</v>
      </c>
      <c r="E43" s="162"/>
    </row>
    <row r="44" spans="1:8">
      <c r="B44" s="1" t="s">
        <v>225</v>
      </c>
      <c r="C44" s="29" t="s">
        <v>130</v>
      </c>
      <c r="D44" s="40">
        <f>(10.4*2+14.31)*1.15</f>
        <v>40.376499999999993</v>
      </c>
      <c r="E44" s="162"/>
    </row>
    <row r="45" spans="1:8">
      <c r="E45" s="162"/>
    </row>
    <row r="46" spans="1:8" s="1" customFormat="1">
      <c r="A46" s="17">
        <f>COUNT($A$16:A45)+1</f>
        <v>4</v>
      </c>
      <c r="B46" s="25" t="s">
        <v>210</v>
      </c>
      <c r="C46" s="29"/>
      <c r="D46" s="40"/>
      <c r="E46" s="163"/>
      <c r="F46" s="163"/>
      <c r="G46" s="81"/>
      <c r="H46" s="82"/>
    </row>
    <row r="47" spans="1:8" s="1" customFormat="1" ht="210">
      <c r="A47" s="23"/>
      <c r="B47" s="1" t="s">
        <v>635</v>
      </c>
      <c r="C47" s="29"/>
      <c r="D47" s="40"/>
      <c r="E47" s="165"/>
      <c r="F47" s="163"/>
      <c r="G47" s="81"/>
      <c r="H47" s="82"/>
    </row>
    <row r="48" spans="1:8" s="1" customFormat="1" ht="60">
      <c r="A48" s="23"/>
      <c r="B48" s="1" t="s">
        <v>1263</v>
      </c>
      <c r="C48" s="29" t="s">
        <v>18</v>
      </c>
      <c r="D48" s="40">
        <v>55</v>
      </c>
      <c r="E48" s="162"/>
      <c r="F48" s="163"/>
      <c r="G48" s="81"/>
      <c r="H48" s="82"/>
    </row>
    <row r="49" spans="1:8">
      <c r="E49" s="162"/>
    </row>
    <row r="50" spans="1:8" s="1" customFormat="1">
      <c r="A50" s="17">
        <f>COUNT($A$16:A49)+1</f>
        <v>5</v>
      </c>
      <c r="B50" s="25" t="s">
        <v>211</v>
      </c>
      <c r="C50" s="29"/>
      <c r="D50" s="40"/>
      <c r="E50" s="163"/>
      <c r="F50" s="163"/>
      <c r="G50" s="81"/>
      <c r="H50" s="82"/>
    </row>
    <row r="51" spans="1:8" s="1" customFormat="1" ht="60">
      <c r="A51" s="23"/>
      <c r="B51" s="1" t="s">
        <v>636</v>
      </c>
      <c r="C51" s="29" t="s">
        <v>130</v>
      </c>
      <c r="D51" s="40">
        <v>260</v>
      </c>
      <c r="E51" s="162"/>
      <c r="F51" s="163"/>
      <c r="G51" s="81"/>
      <c r="H51" s="82"/>
    </row>
    <row r="52" spans="1:8">
      <c r="E52" s="162"/>
    </row>
    <row r="53" spans="1:8">
      <c r="E53" s="162"/>
    </row>
    <row r="54" spans="1:8">
      <c r="A54" s="172" t="s">
        <v>247</v>
      </c>
      <c r="B54" s="173" t="s">
        <v>590</v>
      </c>
      <c r="C54" s="174"/>
      <c r="D54" s="175"/>
      <c r="E54" s="176"/>
      <c r="F54" s="177"/>
    </row>
  </sheetData>
  <pageMargins left="0.7" right="0.7" top="0.79625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16.xml><?xml version="1.0" encoding="utf-8"?>
<worksheet xmlns="http://schemas.openxmlformats.org/spreadsheetml/2006/main" xmlns:r="http://schemas.openxmlformats.org/officeDocument/2006/relationships">
  <sheetPr>
    <tabColor rgb="FF0070C0"/>
  </sheetPr>
  <dimension ref="A1:F143"/>
  <sheetViews>
    <sheetView showZeros="0" view="pageBreakPreview" zoomScaleNormal="85" zoomScaleSheetLayoutView="100" workbookViewId="0">
      <selection activeCell="E2" sqref="E2:G143"/>
    </sheetView>
  </sheetViews>
  <sheetFormatPr defaultColWidth="8.85546875" defaultRowHeight="15"/>
  <cols>
    <col min="1" max="1" width="8.7109375" style="17" customWidth="1"/>
    <col min="2" max="2" width="45.140625" style="1" customWidth="1"/>
    <col min="3" max="3" width="8.5703125" style="29" customWidth="1"/>
    <col min="4" max="4" width="10.7109375" style="127" customWidth="1"/>
    <col min="5" max="5" width="13.7109375" style="183" customWidth="1"/>
    <col min="6" max="6" width="16.7109375" style="183" customWidth="1"/>
    <col min="7" max="16384" width="8.85546875" style="2"/>
  </cols>
  <sheetData>
    <row r="1" spans="1:6">
      <c r="A1" s="107" t="s">
        <v>260</v>
      </c>
      <c r="B1" s="107" t="s">
        <v>261</v>
      </c>
      <c r="C1" s="64" t="s">
        <v>262</v>
      </c>
      <c r="D1" s="109" t="s">
        <v>263</v>
      </c>
      <c r="E1" s="186" t="s">
        <v>264</v>
      </c>
      <c r="F1" s="187" t="s">
        <v>265</v>
      </c>
    </row>
    <row r="3" spans="1:6">
      <c r="A3" s="17" t="s">
        <v>248</v>
      </c>
      <c r="B3" s="25" t="s">
        <v>141</v>
      </c>
      <c r="E3" s="182"/>
    </row>
    <row r="4" spans="1:6">
      <c r="A4" s="33"/>
      <c r="B4" s="25"/>
      <c r="E4" s="182"/>
    </row>
    <row r="5" spans="1:6">
      <c r="A5" s="33"/>
      <c r="E5" s="182"/>
    </row>
    <row r="6" spans="1:6">
      <c r="A6" s="33"/>
      <c r="B6" s="25" t="s">
        <v>633</v>
      </c>
      <c r="E6" s="182"/>
    </row>
    <row r="7" spans="1:6" ht="31.5" customHeight="1">
      <c r="A7" s="33"/>
      <c r="B7" s="1" t="s">
        <v>143</v>
      </c>
      <c r="E7" s="182"/>
    </row>
    <row r="8" spans="1:6" ht="33" customHeight="1">
      <c r="A8" s="33"/>
      <c r="B8" s="1" t="s">
        <v>144</v>
      </c>
      <c r="E8" s="182"/>
    </row>
    <row r="9" spans="1:6" ht="30">
      <c r="A9" s="33"/>
      <c r="B9" s="1" t="s">
        <v>1210</v>
      </c>
      <c r="E9" s="182"/>
    </row>
    <row r="10" spans="1:6" ht="93.75" customHeight="1">
      <c r="B10" s="1" t="s">
        <v>1629</v>
      </c>
      <c r="D10" s="40"/>
      <c r="E10" s="162"/>
      <c r="F10" s="163"/>
    </row>
    <row r="11" spans="1:6" ht="75">
      <c r="B11" s="1" t="s">
        <v>1630</v>
      </c>
      <c r="D11" s="40"/>
      <c r="E11" s="162"/>
      <c r="F11" s="163"/>
    </row>
    <row r="12" spans="1:6" ht="60">
      <c r="B12" s="1" t="s">
        <v>1631</v>
      </c>
      <c r="D12" s="40"/>
      <c r="E12" s="162"/>
      <c r="F12" s="163"/>
    </row>
    <row r="13" spans="1:6">
      <c r="A13" s="33"/>
      <c r="E13" s="182"/>
    </row>
    <row r="14" spans="1:6">
      <c r="A14" s="33"/>
      <c r="E14" s="182"/>
    </row>
    <row r="15" spans="1:6">
      <c r="A15" s="33"/>
      <c r="E15" s="182"/>
    </row>
    <row r="16" spans="1:6" ht="30">
      <c r="A16" s="17">
        <f>COUNT($A$4:A15)+1</f>
        <v>1</v>
      </c>
      <c r="B16" s="25" t="s">
        <v>640</v>
      </c>
      <c r="E16" s="182"/>
    </row>
    <row r="17" spans="1:5" ht="120">
      <c r="A17" s="33"/>
      <c r="B17" s="1" t="s">
        <v>156</v>
      </c>
      <c r="E17" s="182"/>
    </row>
    <row r="18" spans="1:5">
      <c r="A18" s="33"/>
      <c r="B18" s="1" t="s">
        <v>157</v>
      </c>
      <c r="C18" s="29" t="s">
        <v>11</v>
      </c>
      <c r="D18" s="128">
        <f>360*7.5</f>
        <v>2700</v>
      </c>
      <c r="E18" s="182"/>
    </row>
    <row r="19" spans="1:5">
      <c r="A19" s="33"/>
      <c r="D19" s="128"/>
      <c r="E19" s="182"/>
    </row>
    <row r="20" spans="1:5" ht="30">
      <c r="A20" s="17">
        <f>COUNT($A$4:A19)+1</f>
        <v>2</v>
      </c>
      <c r="B20" s="25" t="s">
        <v>1218</v>
      </c>
      <c r="E20" s="182"/>
    </row>
    <row r="21" spans="1:5" ht="44.25" customHeight="1">
      <c r="A21" s="260"/>
      <c r="B21" s="1" t="s">
        <v>1211</v>
      </c>
      <c r="D21" s="128"/>
      <c r="E21" s="182"/>
    </row>
    <row r="22" spans="1:5">
      <c r="A22" s="33"/>
      <c r="B22" s="1" t="s">
        <v>1388</v>
      </c>
      <c r="D22" s="128"/>
      <c r="E22" s="182"/>
    </row>
    <row r="23" spans="1:5" ht="75">
      <c r="A23" s="33"/>
      <c r="B23" s="1" t="s">
        <v>1223</v>
      </c>
      <c r="D23" s="128"/>
      <c r="E23" s="182"/>
    </row>
    <row r="24" spans="1:5" ht="75">
      <c r="A24" s="33"/>
      <c r="B24" s="1" t="s">
        <v>1444</v>
      </c>
      <c r="D24" s="128"/>
      <c r="E24" s="182"/>
    </row>
    <row r="25" spans="1:5" ht="45">
      <c r="A25" s="33"/>
      <c r="B25" s="6" t="s">
        <v>1445</v>
      </c>
      <c r="D25" s="128"/>
      <c r="E25" s="182"/>
    </row>
    <row r="26" spans="1:5" ht="30">
      <c r="A26" s="33"/>
      <c r="B26" s="1" t="s">
        <v>40</v>
      </c>
      <c r="D26" s="128"/>
      <c r="E26" s="182"/>
    </row>
    <row r="27" spans="1:5" ht="45">
      <c r="A27" s="33"/>
      <c r="B27" s="1" t="s">
        <v>1212</v>
      </c>
      <c r="D27" s="128"/>
      <c r="E27" s="182"/>
    </row>
    <row r="28" spans="1:5" ht="45">
      <c r="A28" s="33"/>
      <c r="B28" s="1" t="s">
        <v>1213</v>
      </c>
      <c r="D28" s="128"/>
      <c r="E28" s="182"/>
    </row>
    <row r="29" spans="1:5">
      <c r="A29" s="33"/>
      <c r="B29" s="1" t="s">
        <v>1214</v>
      </c>
      <c r="D29" s="128"/>
      <c r="E29" s="182"/>
    </row>
    <row r="30" spans="1:5">
      <c r="A30" s="33"/>
      <c r="B30" s="259" t="s">
        <v>1215</v>
      </c>
      <c r="C30" s="29" t="s">
        <v>11</v>
      </c>
      <c r="D30" s="128">
        <v>220</v>
      </c>
      <c r="E30" s="182"/>
    </row>
    <row r="31" spans="1:5">
      <c r="A31" s="33"/>
      <c r="B31" s="259" t="s">
        <v>1216</v>
      </c>
      <c r="C31" s="29" t="s">
        <v>11</v>
      </c>
      <c r="D31" s="128">
        <v>16</v>
      </c>
      <c r="E31" s="182"/>
    </row>
    <row r="32" spans="1:5" ht="30">
      <c r="A32" s="33"/>
      <c r="B32" s="259" t="s">
        <v>1217</v>
      </c>
      <c r="C32" s="29" t="s">
        <v>11</v>
      </c>
      <c r="D32" s="128">
        <v>249.8</v>
      </c>
      <c r="E32" s="182"/>
    </row>
    <row r="33" spans="1:5" ht="30">
      <c r="A33" s="33"/>
      <c r="B33" s="259" t="s">
        <v>1468</v>
      </c>
      <c r="C33" s="29" t="s">
        <v>11</v>
      </c>
      <c r="D33" s="128">
        <v>249.8</v>
      </c>
      <c r="E33" s="182"/>
    </row>
    <row r="34" spans="1:5">
      <c r="A34" s="33"/>
      <c r="B34" s="259"/>
      <c r="D34" s="128"/>
      <c r="E34" s="182"/>
    </row>
    <row r="35" spans="1:5">
      <c r="A35" s="17">
        <f>COUNT($A$4:A33)+1</f>
        <v>3</v>
      </c>
      <c r="B35" s="25" t="s">
        <v>1446</v>
      </c>
      <c r="E35" s="182"/>
    </row>
    <row r="36" spans="1:5" ht="44.25" customHeight="1">
      <c r="A36" s="260"/>
      <c r="B36" s="1" t="s">
        <v>1447</v>
      </c>
      <c r="D36" s="128"/>
      <c r="E36" s="182"/>
    </row>
    <row r="37" spans="1:5" ht="45">
      <c r="A37" s="33"/>
      <c r="B37" s="6" t="s">
        <v>1445</v>
      </c>
      <c r="D37" s="128"/>
      <c r="E37" s="182"/>
    </row>
    <row r="38" spans="1:5" ht="30">
      <c r="A38" s="33"/>
      <c r="B38" s="1" t="s">
        <v>40</v>
      </c>
      <c r="D38" s="128"/>
      <c r="E38" s="182"/>
    </row>
    <row r="39" spans="1:5" ht="45">
      <c r="A39" s="33"/>
      <c r="B39" s="1" t="s">
        <v>1212</v>
      </c>
      <c r="D39" s="128"/>
      <c r="E39" s="182"/>
    </row>
    <row r="40" spans="1:5" ht="45">
      <c r="A40" s="33"/>
      <c r="B40" s="1" t="s">
        <v>1213</v>
      </c>
      <c r="D40" s="128"/>
      <c r="E40" s="182"/>
    </row>
    <row r="41" spans="1:5">
      <c r="A41" s="33"/>
      <c r="B41" s="1" t="s">
        <v>448</v>
      </c>
      <c r="C41" s="29" t="s">
        <v>1448</v>
      </c>
      <c r="D41" s="128">
        <f>((1.44*10.59*3+3.39*1.44)+(7.19+34.31+43.6+2.87)*0.7)*1.1</f>
        <v>123.43034</v>
      </c>
      <c r="E41" s="182"/>
    </row>
    <row r="42" spans="1:5">
      <c r="A42" s="33"/>
      <c r="B42" s="259"/>
      <c r="D42" s="128"/>
      <c r="E42" s="182"/>
    </row>
    <row r="43" spans="1:5">
      <c r="A43" s="17">
        <f>COUNT($A$4:A41)+1</f>
        <v>4</v>
      </c>
      <c r="B43" s="25" t="s">
        <v>1446</v>
      </c>
      <c r="E43" s="182"/>
    </row>
    <row r="44" spans="1:5" ht="44.25" customHeight="1">
      <c r="A44" s="260"/>
      <c r="B44" s="1" t="s">
        <v>1467</v>
      </c>
      <c r="D44" s="128"/>
      <c r="E44" s="182"/>
    </row>
    <row r="45" spans="1:5" ht="45">
      <c r="A45" s="33"/>
      <c r="B45" s="6" t="s">
        <v>1445</v>
      </c>
      <c r="D45" s="128"/>
      <c r="E45" s="182"/>
    </row>
    <row r="46" spans="1:5" ht="30">
      <c r="A46" s="33"/>
      <c r="B46" s="1" t="s">
        <v>40</v>
      </c>
      <c r="D46" s="128"/>
      <c r="E46" s="182"/>
    </row>
    <row r="47" spans="1:5" ht="45">
      <c r="A47" s="33"/>
      <c r="B47" s="1" t="s">
        <v>1212</v>
      </c>
      <c r="D47" s="128"/>
      <c r="E47" s="182"/>
    </row>
    <row r="48" spans="1:5" ht="45">
      <c r="A48" s="33"/>
      <c r="B48" s="1" t="s">
        <v>1213</v>
      </c>
      <c r="D48" s="128"/>
      <c r="E48" s="182"/>
    </row>
    <row r="49" spans="1:5">
      <c r="A49" s="33"/>
      <c r="B49" s="1" t="s">
        <v>448</v>
      </c>
      <c r="C49" s="29" t="s">
        <v>1448</v>
      </c>
      <c r="D49" s="128">
        <f>((3.7*4*3+3.55*0.3*6)*0.7)*1.2</f>
        <v>42.663600000000002</v>
      </c>
      <c r="E49" s="182"/>
    </row>
    <row r="50" spans="1:5">
      <c r="A50" s="33"/>
      <c r="B50" s="259"/>
      <c r="D50" s="128"/>
      <c r="E50" s="182"/>
    </row>
    <row r="51" spans="1:5">
      <c r="A51" s="33"/>
      <c r="B51" s="259"/>
      <c r="D51" s="128"/>
      <c r="E51" s="182"/>
    </row>
    <row r="52" spans="1:5">
      <c r="A52" s="33"/>
      <c r="B52" s="259"/>
      <c r="D52" s="128"/>
      <c r="E52" s="182"/>
    </row>
    <row r="53" spans="1:5">
      <c r="A53" s="33"/>
      <c r="B53" s="259"/>
      <c r="D53" s="128"/>
      <c r="E53" s="182"/>
    </row>
    <row r="54" spans="1:5">
      <c r="A54" s="33"/>
      <c r="D54" s="128"/>
      <c r="E54" s="182"/>
    </row>
    <row r="55" spans="1:5" ht="30">
      <c r="A55" s="17">
        <f>COUNT($A$4:A54)+1</f>
        <v>5</v>
      </c>
      <c r="B55" s="25" t="s">
        <v>1219</v>
      </c>
      <c r="E55" s="182"/>
    </row>
    <row r="56" spans="1:5" ht="63.75" customHeight="1">
      <c r="A56" s="260"/>
      <c r="B56" s="1" t="s">
        <v>1220</v>
      </c>
      <c r="D56" s="128"/>
      <c r="E56" s="182"/>
    </row>
    <row r="57" spans="1:5">
      <c r="A57" s="33"/>
      <c r="B57" s="1" t="s">
        <v>1221</v>
      </c>
      <c r="D57" s="128"/>
      <c r="E57" s="182"/>
    </row>
    <row r="58" spans="1:5" ht="75">
      <c r="A58" s="33"/>
      <c r="B58" s="1" t="s">
        <v>1222</v>
      </c>
      <c r="D58" s="128"/>
      <c r="E58" s="182"/>
    </row>
    <row r="59" spans="1:5" ht="45">
      <c r="A59" s="33"/>
      <c r="B59" s="1" t="s">
        <v>1224</v>
      </c>
      <c r="D59" s="128"/>
      <c r="E59" s="182"/>
    </row>
    <row r="60" spans="1:5" ht="75">
      <c r="A60" s="33"/>
      <c r="B60" s="6" t="s">
        <v>1225</v>
      </c>
      <c r="D60" s="128"/>
      <c r="E60" s="201"/>
    </row>
    <row r="61" spans="1:5" ht="105">
      <c r="A61" s="33"/>
      <c r="B61" s="6" t="s">
        <v>1586</v>
      </c>
      <c r="D61" s="128"/>
      <c r="E61" s="201"/>
    </row>
    <row r="62" spans="1:5" ht="45">
      <c r="A62" s="33"/>
      <c r="B62" s="6" t="s">
        <v>1226</v>
      </c>
      <c r="D62" s="128"/>
      <c r="E62" s="182"/>
    </row>
    <row r="63" spans="1:5" ht="30">
      <c r="A63" s="33"/>
      <c r="B63" s="6" t="s">
        <v>1227</v>
      </c>
      <c r="D63" s="128"/>
      <c r="E63" s="182"/>
    </row>
    <row r="64" spans="1:5" ht="30">
      <c r="A64" s="33"/>
      <c r="B64" s="1" t="s">
        <v>40</v>
      </c>
      <c r="D64" s="128"/>
      <c r="E64" s="182"/>
    </row>
    <row r="65" spans="1:6" ht="45">
      <c r="A65" s="33"/>
      <c r="B65" s="1" t="s">
        <v>1228</v>
      </c>
      <c r="D65" s="128"/>
      <c r="E65" s="182"/>
    </row>
    <row r="66" spans="1:6" ht="30">
      <c r="A66" s="33"/>
      <c r="B66" s="1" t="s">
        <v>1229</v>
      </c>
      <c r="D66" s="128"/>
      <c r="E66" s="182"/>
    </row>
    <row r="67" spans="1:6" ht="45">
      <c r="A67" s="33"/>
      <c r="B67" s="1" t="s">
        <v>1233</v>
      </c>
      <c r="C67" s="2"/>
      <c r="D67" s="2"/>
      <c r="E67" s="2"/>
      <c r="F67" s="2"/>
    </row>
    <row r="68" spans="1:6" ht="30">
      <c r="A68" s="33"/>
      <c r="B68" s="259" t="s">
        <v>1231</v>
      </c>
      <c r="C68" s="29" t="s">
        <v>11</v>
      </c>
      <c r="D68" s="128">
        <f>(1.1*4.4*8+1.15*4.35*4+1.15*2.56+2.09*5.21+1.18*2.14*3+0.92*4.25+1.1*3.14*12+1.34*3.2+1.58*0.42+2*1.59+4.3*10.15*3+0.94*3.21*3)*1.05-30</f>
        <v>257.29606500000006</v>
      </c>
      <c r="E68" s="182"/>
    </row>
    <row r="69" spans="1:6">
      <c r="A69" s="33"/>
      <c r="B69" s="259" t="s">
        <v>1232</v>
      </c>
      <c r="C69" s="29" t="s">
        <v>130</v>
      </c>
      <c r="D69" s="128">
        <v>5</v>
      </c>
      <c r="E69" s="182"/>
    </row>
    <row r="70" spans="1:6">
      <c r="A70" s="33"/>
      <c r="B70" s="259"/>
      <c r="D70" s="128"/>
      <c r="E70" s="182"/>
    </row>
    <row r="71" spans="1:6" ht="30">
      <c r="A71" s="17">
        <f>COUNT($A$4:A70)+1</f>
        <v>6</v>
      </c>
      <c r="B71" s="25" t="s">
        <v>1344</v>
      </c>
      <c r="E71" s="182"/>
    </row>
    <row r="72" spans="1:6" ht="63.75" customHeight="1">
      <c r="A72" s="260"/>
      <c r="B72" s="1" t="s">
        <v>1345</v>
      </c>
      <c r="D72" s="128"/>
      <c r="E72" s="182"/>
    </row>
    <row r="73" spans="1:6">
      <c r="A73" s="33"/>
      <c r="B73" s="1" t="s">
        <v>1221</v>
      </c>
      <c r="D73" s="128"/>
      <c r="E73" s="182"/>
    </row>
    <row r="74" spans="1:6" ht="45">
      <c r="A74" s="33"/>
      <c r="B74" s="1" t="s">
        <v>1346</v>
      </c>
      <c r="D74" s="128"/>
      <c r="E74" s="182"/>
    </row>
    <row r="75" spans="1:6" ht="45">
      <c r="A75" s="33"/>
      <c r="B75" s="1" t="s">
        <v>1224</v>
      </c>
      <c r="D75" s="128"/>
      <c r="E75" s="182"/>
    </row>
    <row r="76" spans="1:6" ht="75">
      <c r="A76" s="33"/>
      <c r="B76" s="6" t="s">
        <v>1225</v>
      </c>
      <c r="D76" s="128"/>
      <c r="E76" s="201"/>
    </row>
    <row r="77" spans="1:6" ht="105">
      <c r="A77" s="33"/>
      <c r="B77" s="6" t="s">
        <v>1586</v>
      </c>
      <c r="D77" s="128"/>
      <c r="E77" s="201"/>
    </row>
    <row r="78" spans="1:6" ht="45">
      <c r="A78" s="33"/>
      <c r="B78" s="6" t="s">
        <v>1226</v>
      </c>
      <c r="D78" s="128"/>
      <c r="E78" s="182"/>
    </row>
    <row r="79" spans="1:6" ht="30">
      <c r="A79" s="33"/>
      <c r="B79" s="6" t="s">
        <v>1227</v>
      </c>
      <c r="D79" s="128"/>
      <c r="E79" s="182"/>
    </row>
    <row r="80" spans="1:6" ht="30">
      <c r="A80" s="33"/>
      <c r="B80" s="1" t="s">
        <v>40</v>
      </c>
      <c r="D80" s="128"/>
      <c r="E80" s="182"/>
    </row>
    <row r="81" spans="1:6" ht="45">
      <c r="A81" s="33"/>
      <c r="B81" s="1" t="s">
        <v>1228</v>
      </c>
      <c r="D81" s="128"/>
      <c r="E81" s="182"/>
    </row>
    <row r="82" spans="1:6" ht="30">
      <c r="A82" s="33"/>
      <c r="B82" s="1" t="s">
        <v>1229</v>
      </c>
      <c r="D82" s="128"/>
      <c r="E82" s="182"/>
    </row>
    <row r="83" spans="1:6" ht="30">
      <c r="A83" s="33"/>
      <c r="B83" s="1" t="s">
        <v>1230</v>
      </c>
      <c r="C83" s="29" t="s">
        <v>11</v>
      </c>
      <c r="D83" s="128">
        <v>35</v>
      </c>
      <c r="E83" s="182"/>
    </row>
    <row r="84" spans="1:6">
      <c r="A84" s="33"/>
      <c r="B84" s="259"/>
      <c r="C84" s="2"/>
      <c r="D84" s="2"/>
      <c r="E84" s="2"/>
      <c r="F84" s="2"/>
    </row>
    <row r="85" spans="1:6">
      <c r="A85" s="33"/>
      <c r="B85" s="259"/>
      <c r="D85" s="128"/>
      <c r="E85" s="182"/>
    </row>
    <row r="86" spans="1:6">
      <c r="A86" s="33"/>
      <c r="B86" s="259"/>
      <c r="D86" s="128"/>
      <c r="E86" s="182"/>
    </row>
    <row r="87" spans="1:6" ht="30">
      <c r="A87" s="17">
        <f>COUNT($A$4:A86)+1</f>
        <v>7</v>
      </c>
      <c r="B87" s="25" t="s">
        <v>1234</v>
      </c>
      <c r="E87" s="182"/>
    </row>
    <row r="88" spans="1:6" ht="30">
      <c r="A88" s="260"/>
      <c r="B88" s="1" t="s">
        <v>1236</v>
      </c>
      <c r="D88" s="128"/>
      <c r="E88" s="182"/>
    </row>
    <row r="89" spans="1:6">
      <c r="A89" s="33"/>
      <c r="B89" s="1" t="s">
        <v>1235</v>
      </c>
      <c r="D89" s="128"/>
      <c r="E89" s="182"/>
    </row>
    <row r="90" spans="1:6" ht="75">
      <c r="A90" s="33"/>
      <c r="B90" s="1" t="s">
        <v>1237</v>
      </c>
      <c r="D90" s="128"/>
      <c r="E90" s="182"/>
    </row>
    <row r="91" spans="1:6" ht="60">
      <c r="A91" s="33"/>
      <c r="B91" s="1" t="s">
        <v>1238</v>
      </c>
      <c r="D91" s="128"/>
      <c r="E91" s="182"/>
    </row>
    <row r="92" spans="1:6" ht="255">
      <c r="A92" s="33"/>
      <c r="B92" s="6" t="s">
        <v>1363</v>
      </c>
      <c r="D92" s="128"/>
      <c r="E92" s="201"/>
    </row>
    <row r="93" spans="1:6" ht="30">
      <c r="A93" s="33"/>
      <c r="B93" s="6" t="s">
        <v>1239</v>
      </c>
      <c r="D93" s="128"/>
      <c r="E93" s="201"/>
    </row>
    <row r="94" spans="1:6" ht="30">
      <c r="A94" s="33"/>
      <c r="B94" s="1" t="s">
        <v>1240</v>
      </c>
      <c r="D94" s="128"/>
      <c r="E94" s="182"/>
    </row>
    <row r="95" spans="1:6" ht="30">
      <c r="A95" s="33"/>
      <c r="B95" s="1" t="s">
        <v>1229</v>
      </c>
      <c r="D95" s="128"/>
      <c r="E95" s="182"/>
    </row>
    <row r="96" spans="1:6" ht="30">
      <c r="A96" s="33"/>
      <c r="B96" s="1" t="s">
        <v>1230</v>
      </c>
      <c r="C96" s="29" t="s">
        <v>11</v>
      </c>
      <c r="D96" s="128">
        <f>(8.74+4.8*2+39.3+21.7*3+3.9+2)*1.1</f>
        <v>141.50399999999999</v>
      </c>
      <c r="E96" s="182"/>
    </row>
    <row r="97" spans="1:5">
      <c r="A97" s="33"/>
      <c r="B97" s="259"/>
      <c r="D97" s="128"/>
      <c r="E97" s="182"/>
    </row>
    <row r="98" spans="1:5" ht="30">
      <c r="A98" s="17">
        <f>COUNT($A$4:A97)+1</f>
        <v>8</v>
      </c>
      <c r="B98" s="25" t="s">
        <v>1241</v>
      </c>
      <c r="E98" s="182"/>
    </row>
    <row r="99" spans="1:5" ht="30">
      <c r="A99" s="260"/>
      <c r="B99" s="1" t="s">
        <v>1236</v>
      </c>
      <c r="D99" s="128"/>
      <c r="E99" s="182"/>
    </row>
    <row r="100" spans="1:5">
      <c r="A100" s="33"/>
      <c r="B100" s="1" t="s">
        <v>1242</v>
      </c>
      <c r="D100" s="128"/>
      <c r="E100" s="182"/>
    </row>
    <row r="101" spans="1:5" ht="75">
      <c r="A101" s="33"/>
      <c r="B101" s="1" t="s">
        <v>1243</v>
      </c>
      <c r="D101" s="128"/>
      <c r="E101" s="182"/>
    </row>
    <row r="102" spans="1:5">
      <c r="A102" s="33"/>
      <c r="B102" s="1" t="s">
        <v>1244</v>
      </c>
      <c r="D102" s="128"/>
      <c r="E102" s="182"/>
    </row>
    <row r="103" spans="1:5" ht="30">
      <c r="A103" s="33"/>
      <c r="B103" s="1" t="s">
        <v>1229</v>
      </c>
      <c r="D103" s="128"/>
      <c r="E103" s="182"/>
    </row>
    <row r="104" spans="1:5" ht="30">
      <c r="A104" s="33"/>
      <c r="B104" s="1" t="s">
        <v>1230</v>
      </c>
      <c r="C104" s="29" t="s">
        <v>11</v>
      </c>
      <c r="D104" s="128">
        <v>3.5</v>
      </c>
      <c r="E104" s="182"/>
    </row>
    <row r="105" spans="1:5">
      <c r="A105" s="33"/>
      <c r="B105" s="259"/>
      <c r="D105" s="128"/>
      <c r="E105" s="182"/>
    </row>
    <row r="106" spans="1:5" ht="30">
      <c r="A106" s="17">
        <f>COUNT($A$4:A105)+1</f>
        <v>9</v>
      </c>
      <c r="B106" s="25" t="s">
        <v>1364</v>
      </c>
      <c r="E106" s="182"/>
    </row>
    <row r="107" spans="1:5" ht="30">
      <c r="A107" s="260"/>
      <c r="B107" s="1" t="s">
        <v>1365</v>
      </c>
      <c r="D107" s="128"/>
      <c r="E107" s="182"/>
    </row>
    <row r="108" spans="1:5" ht="45">
      <c r="A108" s="33"/>
      <c r="B108" s="1" t="s">
        <v>1366</v>
      </c>
      <c r="D108" s="128"/>
      <c r="E108" s="182"/>
    </row>
    <row r="109" spans="1:5" ht="120">
      <c r="A109" s="33"/>
      <c r="B109" s="1" t="s">
        <v>1367</v>
      </c>
      <c r="D109" s="128"/>
      <c r="E109" s="182"/>
    </row>
    <row r="110" spans="1:5" ht="195">
      <c r="A110" s="33"/>
      <c r="B110" s="1" t="s">
        <v>1390</v>
      </c>
      <c r="D110" s="128"/>
      <c r="E110" s="182"/>
    </row>
    <row r="111" spans="1:5" ht="60">
      <c r="A111" s="33"/>
      <c r="B111" s="1" t="s">
        <v>1368</v>
      </c>
      <c r="D111" s="128"/>
      <c r="E111" s="182"/>
    </row>
    <row r="112" spans="1:5" ht="30">
      <c r="A112" s="33"/>
      <c r="B112" s="1" t="s">
        <v>1369</v>
      </c>
      <c r="D112" s="128"/>
      <c r="E112" s="182"/>
    </row>
    <row r="113" spans="1:5" ht="150">
      <c r="A113" s="33"/>
      <c r="B113" s="1" t="s">
        <v>1372</v>
      </c>
      <c r="D113" s="128"/>
      <c r="E113" s="182"/>
    </row>
    <row r="114" spans="1:5" ht="60">
      <c r="A114" s="33"/>
      <c r="B114" s="1" t="s">
        <v>1626</v>
      </c>
      <c r="D114" s="128"/>
      <c r="E114" s="182"/>
    </row>
    <row r="115" spans="1:5" ht="30">
      <c r="A115" s="33"/>
      <c r="B115" s="1" t="s">
        <v>1627</v>
      </c>
      <c r="D115" s="128"/>
      <c r="E115" s="182"/>
    </row>
    <row r="116" spans="1:5" ht="45">
      <c r="A116" s="33"/>
      <c r="B116" s="1" t="s">
        <v>1674</v>
      </c>
      <c r="D116" s="128"/>
      <c r="E116" s="182"/>
    </row>
    <row r="117" spans="1:5" ht="90">
      <c r="A117" s="33"/>
      <c r="B117" s="1" t="s">
        <v>1370</v>
      </c>
      <c r="D117" s="128"/>
      <c r="E117" s="182"/>
    </row>
    <row r="118" spans="1:5" ht="90">
      <c r="A118" s="33"/>
      <c r="B118" s="1" t="s">
        <v>1376</v>
      </c>
      <c r="D118" s="128"/>
      <c r="E118" s="182"/>
    </row>
    <row r="119" spans="1:5" ht="30">
      <c r="A119" s="33"/>
      <c r="B119" s="1" t="s">
        <v>1371</v>
      </c>
      <c r="C119" s="29" t="s">
        <v>11</v>
      </c>
      <c r="D119" s="128">
        <f>(39.25+9.57+17.8+11.63+8.7+45)*1.05</f>
        <v>138.54749999999999</v>
      </c>
      <c r="E119" s="182"/>
    </row>
    <row r="120" spans="1:5">
      <c r="A120" s="33"/>
      <c r="D120" s="128"/>
      <c r="E120" s="182"/>
    </row>
    <row r="121" spans="1:5" ht="30">
      <c r="A121" s="17">
        <f>COUNT($A$4:A119)+1</f>
        <v>10</v>
      </c>
      <c r="B121" s="25" t="s">
        <v>1373</v>
      </c>
      <c r="E121" s="182"/>
    </row>
    <row r="122" spans="1:5" ht="30">
      <c r="A122" s="260"/>
      <c r="B122" s="1" t="s">
        <v>1365</v>
      </c>
      <c r="D122" s="128"/>
      <c r="E122" s="182"/>
    </row>
    <row r="123" spans="1:5" ht="45">
      <c r="A123" s="33"/>
      <c r="B123" s="1" t="s">
        <v>1374</v>
      </c>
      <c r="D123" s="128"/>
      <c r="E123" s="182"/>
    </row>
    <row r="124" spans="1:5" ht="165">
      <c r="A124" s="33"/>
      <c r="B124" s="1" t="s">
        <v>1375</v>
      </c>
      <c r="D124" s="128"/>
      <c r="E124" s="182"/>
    </row>
    <row r="125" spans="1:5" ht="360">
      <c r="A125" s="33"/>
      <c r="B125" s="1" t="s">
        <v>1443</v>
      </c>
      <c r="D125" s="128"/>
      <c r="E125" s="182"/>
    </row>
    <row r="126" spans="1:5" ht="50.25" customHeight="1">
      <c r="A126" s="33"/>
      <c r="B126" s="1" t="s">
        <v>1389</v>
      </c>
      <c r="D126" s="128"/>
      <c r="E126" s="182"/>
    </row>
    <row r="127" spans="1:5" ht="30">
      <c r="A127" s="33"/>
      <c r="B127" s="1" t="s">
        <v>1369</v>
      </c>
      <c r="D127" s="128"/>
      <c r="E127" s="182"/>
    </row>
    <row r="128" spans="1:5" ht="105">
      <c r="A128" s="33"/>
      <c r="B128" s="1" t="s">
        <v>1377</v>
      </c>
      <c r="D128" s="128"/>
      <c r="E128" s="182"/>
    </row>
    <row r="129" spans="1:6" ht="90">
      <c r="A129" s="33"/>
      <c r="B129" s="1" t="s">
        <v>1370</v>
      </c>
      <c r="D129" s="128"/>
      <c r="E129" s="182"/>
    </row>
    <row r="130" spans="1:6" ht="90">
      <c r="A130" s="33"/>
      <c r="B130" s="1" t="s">
        <v>1378</v>
      </c>
      <c r="D130" s="128"/>
      <c r="E130" s="182"/>
    </row>
    <row r="131" spans="1:6" ht="45">
      <c r="A131" s="33"/>
      <c r="B131" s="1" t="s">
        <v>1381</v>
      </c>
      <c r="C131" s="2"/>
      <c r="D131" s="2"/>
      <c r="E131" s="2"/>
      <c r="F131" s="2"/>
    </row>
    <row r="132" spans="1:6">
      <c r="A132" s="33"/>
      <c r="B132" s="1" t="s">
        <v>1379</v>
      </c>
      <c r="C132" s="29" t="s">
        <v>11</v>
      </c>
      <c r="D132" s="128">
        <f>(37.6*0.5+33.71*0.8+(7.73+9.79+4.49)*0.7+(4.64+2.39*4+0.4)*0.55+4.25*0.25+7.75+42.24*0.35+(11.81*2)*0.43+3.2*0.55+3.22*0.99+5.35+4+3.04+3.52+2.75+2.49+2.92+2.24+2.15+(0.25+0.56+0.25+0.73+0.86+1.43)*2*0.9)*1.15</f>
        <v>165.26638499999999</v>
      </c>
      <c r="E132" s="182"/>
    </row>
    <row r="133" spans="1:6">
      <c r="A133" s="33"/>
      <c r="B133" s="1" t="s">
        <v>1380</v>
      </c>
      <c r="C133" s="29" t="s">
        <v>130</v>
      </c>
      <c r="D133" s="128">
        <f>((1.43+0.86+0.73+0.24+0.46+0.24+0.65+11*0.357*0.55+6*0.8+1+1.19)*2)*1.1</f>
        <v>30.271670000000004</v>
      </c>
      <c r="E133" s="182"/>
    </row>
    <row r="134" spans="1:6">
      <c r="A134" s="33"/>
      <c r="D134" s="128"/>
      <c r="E134" s="182"/>
    </row>
    <row r="135" spans="1:6">
      <c r="A135" s="33"/>
      <c r="D135" s="128"/>
      <c r="E135" s="182"/>
    </row>
    <row r="136" spans="1:6">
      <c r="A136" s="33"/>
      <c r="D136" s="128"/>
      <c r="E136" s="182"/>
    </row>
    <row r="137" spans="1:6">
      <c r="A137" s="33"/>
      <c r="D137" s="128"/>
      <c r="E137" s="182"/>
    </row>
    <row r="138" spans="1:6">
      <c r="A138" s="33"/>
      <c r="E138" s="182"/>
    </row>
    <row r="139" spans="1:6">
      <c r="A139" s="33"/>
      <c r="E139" s="182"/>
    </row>
    <row r="140" spans="1:6">
      <c r="A140" s="33"/>
      <c r="E140" s="182"/>
    </row>
    <row r="141" spans="1:6">
      <c r="A141" s="33"/>
      <c r="E141" s="182"/>
    </row>
    <row r="142" spans="1:6">
      <c r="B142" s="83"/>
      <c r="C142" s="84"/>
      <c r="D142" s="151"/>
      <c r="E142" s="182"/>
    </row>
    <row r="143" spans="1:6">
      <c r="A143" s="172" t="s">
        <v>248</v>
      </c>
      <c r="B143" s="173" t="s">
        <v>244</v>
      </c>
      <c r="C143" s="174"/>
      <c r="D143" s="202"/>
      <c r="E143" s="192"/>
      <c r="F143" s="193"/>
    </row>
  </sheetData>
  <pageMargins left="0.7" right="0.7" top="0.78749999999999998"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17.xml><?xml version="1.0" encoding="utf-8"?>
<worksheet xmlns="http://schemas.openxmlformats.org/spreadsheetml/2006/main" xmlns:r="http://schemas.openxmlformats.org/officeDocument/2006/relationships">
  <sheetPr>
    <tabColor rgb="FF0070C0"/>
  </sheetPr>
  <dimension ref="A1:J223"/>
  <sheetViews>
    <sheetView showZeros="0" view="pageBreakPreview" zoomScale="85" zoomScaleNormal="100" zoomScaleSheetLayoutView="85" workbookViewId="0">
      <selection activeCell="E2" sqref="E2:G221"/>
    </sheetView>
  </sheetViews>
  <sheetFormatPr defaultColWidth="8.85546875" defaultRowHeight="15"/>
  <cols>
    <col min="1" max="1" width="8.7109375" style="17" customWidth="1"/>
    <col min="2" max="2" width="45.140625" style="1" customWidth="1"/>
    <col min="3" max="3" width="8.5703125" style="29" customWidth="1"/>
    <col min="4" max="4" width="10.7109375" style="40" customWidth="1"/>
    <col min="5" max="5" width="13.7109375" style="183" customWidth="1"/>
    <col min="6" max="6" width="16.7109375" style="183" customWidth="1"/>
    <col min="7" max="16384" width="8.85546875" style="2"/>
  </cols>
  <sheetData>
    <row r="1" spans="1:6">
      <c r="A1" s="107" t="s">
        <v>260</v>
      </c>
      <c r="B1" s="107" t="s">
        <v>261</v>
      </c>
      <c r="C1" s="64" t="s">
        <v>262</v>
      </c>
      <c r="D1" s="109" t="s">
        <v>263</v>
      </c>
      <c r="E1" s="186" t="s">
        <v>264</v>
      </c>
      <c r="F1" s="187" t="s">
        <v>265</v>
      </c>
    </row>
    <row r="3" spans="1:6">
      <c r="A3" s="17" t="s">
        <v>249</v>
      </c>
      <c r="B3" s="25" t="s">
        <v>529</v>
      </c>
      <c r="E3" s="182"/>
    </row>
    <row r="4" spans="1:6">
      <c r="E4" s="182"/>
    </row>
    <row r="5" spans="1:6">
      <c r="E5" s="182"/>
    </row>
    <row r="6" spans="1:6">
      <c r="B6" s="1" t="s">
        <v>298</v>
      </c>
      <c r="E6" s="182"/>
    </row>
    <row r="7" spans="1:6" ht="168.75" customHeight="1">
      <c r="B7" s="1" t="s">
        <v>179</v>
      </c>
      <c r="E7" s="182"/>
    </row>
    <row r="8" spans="1:6" ht="30">
      <c r="B8" s="1" t="s">
        <v>1123</v>
      </c>
      <c r="E8" s="182"/>
    </row>
    <row r="9" spans="1:6" ht="315.75" customHeight="1">
      <c r="B9" s="1" t="s">
        <v>158</v>
      </c>
      <c r="E9" s="182"/>
    </row>
    <row r="10" spans="1:6" ht="92.25" customHeight="1">
      <c r="B10" s="1" t="s">
        <v>531</v>
      </c>
      <c r="E10" s="182"/>
    </row>
    <row r="11" spans="1:6" ht="105">
      <c r="B11" s="1" t="s">
        <v>161</v>
      </c>
      <c r="E11" s="182"/>
    </row>
    <row r="12" spans="1:6" ht="45">
      <c r="B12" s="1" t="s">
        <v>1124</v>
      </c>
      <c r="E12" s="182"/>
    </row>
    <row r="13" spans="1:6" ht="60">
      <c r="B13" s="1" t="s">
        <v>162</v>
      </c>
      <c r="E13" s="182"/>
    </row>
    <row r="14" spans="1:6" ht="45">
      <c r="B14" s="1" t="s">
        <v>163</v>
      </c>
      <c r="E14" s="182"/>
    </row>
    <row r="15" spans="1:6">
      <c r="E15" s="182"/>
    </row>
    <row r="16" spans="1:6" ht="60">
      <c r="B16" s="1" t="s">
        <v>159</v>
      </c>
      <c r="E16" s="182"/>
    </row>
    <row r="17" spans="1:5" ht="105">
      <c r="B17" s="1" t="s">
        <v>234</v>
      </c>
      <c r="E17" s="182"/>
    </row>
    <row r="18" spans="1:5" ht="30">
      <c r="B18" s="1" t="s">
        <v>532</v>
      </c>
      <c r="E18" s="182"/>
    </row>
    <row r="19" spans="1:5" ht="30">
      <c r="B19" s="1" t="s">
        <v>160</v>
      </c>
      <c r="E19" s="182"/>
    </row>
    <row r="20" spans="1:5">
      <c r="E20" s="182"/>
    </row>
    <row r="21" spans="1:5">
      <c r="E21" s="182"/>
    </row>
    <row r="22" spans="1:5" ht="75">
      <c r="A22" s="17">
        <f>COUNT($A$5:A21)+1</f>
        <v>1</v>
      </c>
      <c r="B22" s="1" t="s">
        <v>1138</v>
      </c>
      <c r="E22" s="182"/>
    </row>
    <row r="23" spans="1:5" ht="75">
      <c r="B23" s="1" t="s">
        <v>1128</v>
      </c>
      <c r="E23" s="182"/>
    </row>
    <row r="24" spans="1:5">
      <c r="B24" s="1" t="s">
        <v>1125</v>
      </c>
      <c r="E24" s="182"/>
    </row>
    <row r="25" spans="1:5" ht="90">
      <c r="B25" s="1" t="s">
        <v>1126</v>
      </c>
      <c r="E25" s="182"/>
    </row>
    <row r="26" spans="1:5">
      <c r="B26" s="1" t="s">
        <v>1127</v>
      </c>
      <c r="E26" s="182"/>
    </row>
    <row r="27" spans="1:5" ht="75">
      <c r="B27" s="1" t="s">
        <v>164</v>
      </c>
      <c r="E27" s="182"/>
    </row>
    <row r="28" spans="1:5" ht="30">
      <c r="B28" s="1" t="s">
        <v>165</v>
      </c>
    </row>
    <row r="29" spans="1:5" ht="30">
      <c r="B29" s="1" t="s">
        <v>166</v>
      </c>
    </row>
    <row r="30" spans="1:5">
      <c r="B30" s="1" t="s">
        <v>167</v>
      </c>
    </row>
    <row r="31" spans="1:5">
      <c r="B31" s="1" t="s">
        <v>168</v>
      </c>
      <c r="C31" s="29" t="s">
        <v>11</v>
      </c>
      <c r="D31" s="40">
        <f>((2.84+0.95+5.2+1.2+1+0.95+0.13+1+0.15+0.8+0.27+0.8+0.05+0.95+1.13+1.05)*3.4-(0.8*2.1*11))*1.05</f>
        <v>46.533900000000017</v>
      </c>
      <c r="E31" s="182"/>
    </row>
    <row r="32" spans="1:5">
      <c r="E32" s="182"/>
    </row>
    <row r="33" spans="1:5" ht="75">
      <c r="A33" s="17">
        <f>COUNT($A$5:A32)+1</f>
        <v>2</v>
      </c>
      <c r="B33" s="1" t="s">
        <v>1137</v>
      </c>
      <c r="E33" s="182"/>
    </row>
    <row r="34" spans="1:5" ht="75">
      <c r="B34" s="1" t="s">
        <v>1129</v>
      </c>
      <c r="E34" s="182"/>
    </row>
    <row r="35" spans="1:5">
      <c r="B35" s="1" t="s">
        <v>1125</v>
      </c>
      <c r="E35" s="182"/>
    </row>
    <row r="36" spans="1:5" ht="90">
      <c r="B36" s="1" t="s">
        <v>1126</v>
      </c>
      <c r="E36" s="182"/>
    </row>
    <row r="37" spans="1:5">
      <c r="B37" s="1" t="s">
        <v>1127</v>
      </c>
      <c r="E37" s="182"/>
    </row>
    <row r="38" spans="1:5" ht="75">
      <c r="B38" s="1" t="s">
        <v>164</v>
      </c>
      <c r="E38" s="182"/>
    </row>
    <row r="39" spans="1:5" ht="30">
      <c r="B39" s="1" t="s">
        <v>165</v>
      </c>
    </row>
    <row r="40" spans="1:5" ht="30">
      <c r="B40" s="1" t="s">
        <v>166</v>
      </c>
    </row>
    <row r="41" spans="1:5">
      <c r="B41" s="1" t="s">
        <v>167</v>
      </c>
    </row>
    <row r="42" spans="1:5">
      <c r="B42" s="1" t="s">
        <v>168</v>
      </c>
      <c r="C42" s="29" t="s">
        <v>11</v>
      </c>
      <c r="D42" s="40">
        <f>((3.7+1.4+2.05+1.62*6)*3.4-0.8*2.1*4)*1.05</f>
        <v>53.169900000000005</v>
      </c>
      <c r="E42" s="182"/>
    </row>
    <row r="43" spans="1:5">
      <c r="E43" s="182"/>
    </row>
    <row r="44" spans="1:5" ht="75">
      <c r="A44" s="17">
        <f>COUNT($A$5:A43)+1</f>
        <v>3</v>
      </c>
      <c r="B44" s="1" t="s">
        <v>1136</v>
      </c>
      <c r="E44" s="182"/>
    </row>
    <row r="45" spans="1:5" ht="75">
      <c r="B45" s="1" t="s">
        <v>1130</v>
      </c>
      <c r="E45" s="182"/>
    </row>
    <row r="46" spans="1:5">
      <c r="B46" s="1" t="s">
        <v>1125</v>
      </c>
      <c r="E46" s="182"/>
    </row>
    <row r="47" spans="1:5" ht="90">
      <c r="B47" s="1" t="s">
        <v>1126</v>
      </c>
      <c r="E47" s="182"/>
    </row>
    <row r="48" spans="1:5">
      <c r="B48" s="1" t="s">
        <v>1127</v>
      </c>
      <c r="E48" s="182"/>
    </row>
    <row r="49" spans="1:5" ht="75">
      <c r="B49" s="1" t="s">
        <v>164</v>
      </c>
      <c r="E49" s="182"/>
    </row>
    <row r="50" spans="1:5" ht="30">
      <c r="B50" s="1" t="s">
        <v>165</v>
      </c>
    </row>
    <row r="51" spans="1:5" ht="30">
      <c r="B51" s="1" t="s">
        <v>166</v>
      </c>
    </row>
    <row r="52" spans="1:5">
      <c r="B52" s="1" t="s">
        <v>167</v>
      </c>
    </row>
    <row r="53" spans="1:5">
      <c r="B53" s="1" t="s">
        <v>168</v>
      </c>
      <c r="C53" s="29" t="s">
        <v>11</v>
      </c>
      <c r="D53" s="40">
        <f>((1.2+4.2+2.13+1.4*2+1.05+2.1*2+2.15*2+2+7.35+3.38*2+0.38)*3.4-(1*2.1))*1.05</f>
        <v>127.63590000000002</v>
      </c>
      <c r="E53" s="182"/>
    </row>
    <row r="54" spans="1:5">
      <c r="E54" s="182"/>
    </row>
    <row r="55" spans="1:5" ht="75">
      <c r="A55" s="17">
        <f>COUNT($A$5:A54)+1</f>
        <v>4</v>
      </c>
      <c r="B55" s="1" t="s">
        <v>1135</v>
      </c>
      <c r="E55" s="182"/>
    </row>
    <row r="56" spans="1:5" ht="75">
      <c r="B56" s="1" t="s">
        <v>1131</v>
      </c>
      <c r="E56" s="182"/>
    </row>
    <row r="57" spans="1:5">
      <c r="B57" s="1" t="s">
        <v>1132</v>
      </c>
      <c r="E57" s="182"/>
    </row>
    <row r="58" spans="1:5" ht="90">
      <c r="B58" s="1" t="s">
        <v>1133</v>
      </c>
      <c r="E58" s="182"/>
    </row>
    <row r="59" spans="1:5">
      <c r="B59" s="1" t="s">
        <v>1127</v>
      </c>
      <c r="E59" s="182"/>
    </row>
    <row r="60" spans="1:5" ht="75">
      <c r="B60" s="1" t="s">
        <v>164</v>
      </c>
      <c r="E60" s="182"/>
    </row>
    <row r="61" spans="1:5" ht="30">
      <c r="B61" s="1" t="s">
        <v>165</v>
      </c>
    </row>
    <row r="62" spans="1:5" ht="30">
      <c r="B62" s="1" t="s">
        <v>1134</v>
      </c>
    </row>
    <row r="63" spans="1:5">
      <c r="B63" s="1" t="s">
        <v>167</v>
      </c>
    </row>
    <row r="64" spans="1:5">
      <c r="B64" s="1" t="s">
        <v>168</v>
      </c>
      <c r="C64" s="29" t="s">
        <v>11</v>
      </c>
      <c r="D64" s="40">
        <f>((3.42*6+3.1+2.98+0.28+5.21+1.84)*3.4-(2.1*2.1+1*2.1*3+0.9*2.1*2+1.1*2.1))*1.05</f>
        <v>103.49010000000001</v>
      </c>
      <c r="E64" s="182"/>
    </row>
    <row r="65" spans="1:5">
      <c r="E65" s="182"/>
    </row>
    <row r="66" spans="1:5" ht="75">
      <c r="A66" s="17">
        <f>COUNT($A$5:A65)+1</f>
        <v>5</v>
      </c>
      <c r="B66" s="1" t="s">
        <v>1145</v>
      </c>
      <c r="E66" s="182"/>
    </row>
    <row r="67" spans="1:5" ht="75">
      <c r="B67" s="1" t="s">
        <v>1146</v>
      </c>
      <c r="E67" s="182"/>
    </row>
    <row r="68" spans="1:5" ht="90">
      <c r="B68" s="1" t="s">
        <v>1133</v>
      </c>
      <c r="E68" s="182"/>
    </row>
    <row r="69" spans="1:5">
      <c r="B69" s="1" t="s">
        <v>1127</v>
      </c>
      <c r="E69" s="182"/>
    </row>
    <row r="70" spans="1:5" ht="75">
      <c r="B70" s="1" t="s">
        <v>164</v>
      </c>
      <c r="E70" s="182"/>
    </row>
    <row r="71" spans="1:5" ht="30">
      <c r="B71" s="1" t="s">
        <v>165</v>
      </c>
    </row>
    <row r="72" spans="1:5" ht="30">
      <c r="B72" s="1" t="s">
        <v>1134</v>
      </c>
    </row>
    <row r="73" spans="1:5">
      <c r="B73" s="1" t="s">
        <v>167</v>
      </c>
    </row>
    <row r="74" spans="1:5">
      <c r="B74" s="1" t="s">
        <v>168</v>
      </c>
      <c r="C74" s="29" t="s">
        <v>11</v>
      </c>
      <c r="D74" s="40">
        <f>((2.13)*3.4-(0.9*2.1))*1.05</f>
        <v>5.6195999999999984</v>
      </c>
      <c r="E74" s="182"/>
    </row>
    <row r="75" spans="1:5">
      <c r="E75" s="182"/>
    </row>
    <row r="76" spans="1:5" ht="60">
      <c r="A76" s="17">
        <f>COUNT($A$5:A75)+1</f>
        <v>6</v>
      </c>
      <c r="B76" s="1" t="s">
        <v>536</v>
      </c>
      <c r="E76" s="182"/>
    </row>
    <row r="77" spans="1:5" ht="90">
      <c r="B77" s="1" t="s">
        <v>1139</v>
      </c>
      <c r="E77" s="182"/>
    </row>
    <row r="78" spans="1:5" ht="30">
      <c r="B78" s="1" t="s">
        <v>533</v>
      </c>
      <c r="E78" s="182"/>
    </row>
    <row r="79" spans="1:5">
      <c r="B79" s="1" t="s">
        <v>1140</v>
      </c>
      <c r="E79" s="182"/>
    </row>
    <row r="80" spans="1:5" ht="90">
      <c r="B80" s="1" t="s">
        <v>534</v>
      </c>
      <c r="E80" s="182"/>
    </row>
    <row r="81" spans="1:5" ht="75">
      <c r="B81" s="1" t="s">
        <v>164</v>
      </c>
      <c r="E81" s="182"/>
    </row>
    <row r="82" spans="1:5" ht="30">
      <c r="B82" s="1" t="s">
        <v>165</v>
      </c>
    </row>
    <row r="83" spans="1:5" ht="30">
      <c r="B83" s="1" t="s">
        <v>166</v>
      </c>
    </row>
    <row r="84" spans="1:5">
      <c r="B84" s="1" t="s">
        <v>167</v>
      </c>
    </row>
    <row r="85" spans="1:5">
      <c r="B85" s="1" t="s">
        <v>168</v>
      </c>
      <c r="C85" s="29" t="s">
        <v>11</v>
      </c>
      <c r="D85" s="112">
        <f>(1.23)*3.4*1.2</f>
        <v>5.0183999999999989</v>
      </c>
      <c r="E85" s="182"/>
    </row>
    <row r="86" spans="1:5">
      <c r="E86" s="182"/>
    </row>
    <row r="87" spans="1:5" ht="60">
      <c r="A87" s="17">
        <f>COUNT($A$5:A86)+1</f>
        <v>7</v>
      </c>
      <c r="B87" s="1" t="s">
        <v>537</v>
      </c>
      <c r="E87" s="182"/>
    </row>
    <row r="88" spans="1:5" ht="45">
      <c r="B88" s="1" t="s">
        <v>1141</v>
      </c>
      <c r="E88" s="182"/>
    </row>
    <row r="89" spans="1:5">
      <c r="B89" s="1" t="s">
        <v>1140</v>
      </c>
      <c r="E89" s="182"/>
    </row>
    <row r="90" spans="1:5" ht="75">
      <c r="B90" s="1" t="s">
        <v>539</v>
      </c>
      <c r="E90" s="182"/>
    </row>
    <row r="91" spans="1:5" ht="75">
      <c r="B91" s="1" t="s">
        <v>164</v>
      </c>
      <c r="E91" s="182"/>
    </row>
    <row r="92" spans="1:5" ht="30">
      <c r="B92" s="1" t="s">
        <v>165</v>
      </c>
    </row>
    <row r="93" spans="1:5" ht="30">
      <c r="B93" s="1" t="s">
        <v>166</v>
      </c>
    </row>
    <row r="94" spans="1:5">
      <c r="B94" s="1" t="s">
        <v>167</v>
      </c>
    </row>
    <row r="95" spans="1:5">
      <c r="B95" s="1" t="s">
        <v>168</v>
      </c>
      <c r="C95" s="29" t="s">
        <v>11</v>
      </c>
      <c r="D95" s="112">
        <v>20</v>
      </c>
      <c r="E95" s="182"/>
    </row>
    <row r="96" spans="1:5">
      <c r="E96" s="182"/>
    </row>
    <row r="97" spans="1:5" ht="60">
      <c r="A97" s="17">
        <f>COUNT($A$5:A96)+1</f>
        <v>8</v>
      </c>
      <c r="B97" s="1" t="s">
        <v>537</v>
      </c>
      <c r="E97" s="182"/>
    </row>
    <row r="98" spans="1:5" ht="75">
      <c r="B98" s="1" t="s">
        <v>1142</v>
      </c>
      <c r="E98" s="182"/>
    </row>
    <row r="99" spans="1:5">
      <c r="B99" s="1" t="s">
        <v>1140</v>
      </c>
      <c r="E99" s="182"/>
    </row>
    <row r="100" spans="1:5" ht="90">
      <c r="B100" s="1" t="s">
        <v>534</v>
      </c>
      <c r="E100" s="182"/>
    </row>
    <row r="101" spans="1:5" ht="75">
      <c r="B101" s="1" t="s">
        <v>164</v>
      </c>
      <c r="E101" s="182"/>
    </row>
    <row r="102" spans="1:5" ht="30">
      <c r="B102" s="1" t="s">
        <v>165</v>
      </c>
    </row>
    <row r="103" spans="1:5" ht="30">
      <c r="B103" s="1" t="s">
        <v>166</v>
      </c>
    </row>
    <row r="104" spans="1:5">
      <c r="B104" s="1" t="s">
        <v>167</v>
      </c>
    </row>
    <row r="105" spans="1:5">
      <c r="B105" s="1" t="s">
        <v>168</v>
      </c>
      <c r="C105" s="29" t="s">
        <v>11</v>
      </c>
      <c r="D105" s="112">
        <v>60</v>
      </c>
      <c r="E105" s="182"/>
    </row>
    <row r="106" spans="1:5">
      <c r="E106" s="182"/>
    </row>
    <row r="107" spans="1:5" ht="75">
      <c r="A107" s="17">
        <f>COUNT($A$5:A106)+1</f>
        <v>9</v>
      </c>
      <c r="B107" s="1" t="s">
        <v>538</v>
      </c>
      <c r="E107" s="182"/>
    </row>
    <row r="108" spans="1:5" ht="60">
      <c r="B108" s="1" t="s">
        <v>1143</v>
      </c>
      <c r="E108" s="182"/>
    </row>
    <row r="109" spans="1:5">
      <c r="B109" s="1" t="s">
        <v>1140</v>
      </c>
      <c r="E109" s="182"/>
    </row>
    <row r="110" spans="1:5" ht="90">
      <c r="B110" s="1" t="s">
        <v>534</v>
      </c>
      <c r="E110" s="182"/>
    </row>
    <row r="111" spans="1:5" ht="75">
      <c r="B111" s="1" t="s">
        <v>164</v>
      </c>
      <c r="E111" s="182"/>
    </row>
    <row r="112" spans="1:5" ht="30">
      <c r="B112" s="1" t="s">
        <v>165</v>
      </c>
    </row>
    <row r="113" spans="1:5" ht="30">
      <c r="B113" s="1" t="s">
        <v>166</v>
      </c>
    </row>
    <row r="114" spans="1:5">
      <c r="B114" s="1" t="s">
        <v>167</v>
      </c>
    </row>
    <row r="115" spans="1:5">
      <c r="B115" s="1" t="s">
        <v>168</v>
      </c>
      <c r="C115" s="29" t="s">
        <v>11</v>
      </c>
      <c r="D115" s="112">
        <v>55</v>
      </c>
      <c r="E115" s="182"/>
    </row>
    <row r="116" spans="1:5">
      <c r="D116" s="112"/>
      <c r="E116" s="182"/>
    </row>
    <row r="117" spans="1:5" ht="60">
      <c r="A117" s="17">
        <f>COUNT($A$5:A111)+1</f>
        <v>10</v>
      </c>
      <c r="B117" s="1" t="s">
        <v>540</v>
      </c>
      <c r="E117" s="182"/>
    </row>
    <row r="118" spans="1:5" ht="75">
      <c r="B118" s="1" t="s">
        <v>1144</v>
      </c>
      <c r="E118" s="182"/>
    </row>
    <row r="119" spans="1:5">
      <c r="B119" s="1" t="s">
        <v>1140</v>
      </c>
      <c r="E119" s="182"/>
    </row>
    <row r="120" spans="1:5" ht="90">
      <c r="B120" s="1" t="s">
        <v>534</v>
      </c>
      <c r="E120" s="182"/>
    </row>
    <row r="121" spans="1:5" ht="75">
      <c r="B121" s="1" t="s">
        <v>164</v>
      </c>
      <c r="E121" s="182"/>
    </row>
    <row r="122" spans="1:5" ht="30">
      <c r="B122" s="1" t="s">
        <v>165</v>
      </c>
    </row>
    <row r="123" spans="1:5" ht="30">
      <c r="B123" s="1" t="s">
        <v>166</v>
      </c>
    </row>
    <row r="124" spans="1:5">
      <c r="B124" s="1" t="s">
        <v>167</v>
      </c>
    </row>
    <row r="125" spans="1:5">
      <c r="B125" s="1" t="s">
        <v>168</v>
      </c>
      <c r="C125" s="29" t="s">
        <v>11</v>
      </c>
      <c r="D125" s="112">
        <v>20</v>
      </c>
      <c r="E125" s="182"/>
    </row>
    <row r="126" spans="1:5">
      <c r="D126" s="112"/>
      <c r="E126" s="182"/>
    </row>
    <row r="127" spans="1:5" ht="30">
      <c r="A127" s="17">
        <f>COUNT($A$5:A126)+1</f>
        <v>11</v>
      </c>
      <c r="B127" s="25" t="s">
        <v>535</v>
      </c>
      <c r="E127" s="182"/>
    </row>
    <row r="128" spans="1:5" ht="105">
      <c r="B128" s="1" t="s">
        <v>1147</v>
      </c>
      <c r="E128" s="182"/>
    </row>
    <row r="129" spans="1:5" ht="135">
      <c r="B129" s="1" t="s">
        <v>1148</v>
      </c>
      <c r="E129" s="182"/>
    </row>
    <row r="130" spans="1:5">
      <c r="B130" s="1" t="s">
        <v>1140</v>
      </c>
      <c r="E130" s="182"/>
    </row>
    <row r="131" spans="1:5" ht="75">
      <c r="B131" s="1" t="s">
        <v>164</v>
      </c>
      <c r="E131" s="182"/>
    </row>
    <row r="132" spans="1:5" ht="30">
      <c r="B132" s="1" t="s">
        <v>165</v>
      </c>
    </row>
    <row r="133" spans="1:5" ht="30">
      <c r="B133" s="1" t="s">
        <v>166</v>
      </c>
    </row>
    <row r="134" spans="1:5">
      <c r="B134" s="1" t="s">
        <v>167</v>
      </c>
    </row>
    <row r="135" spans="1:5">
      <c r="B135" s="1" t="s">
        <v>168</v>
      </c>
      <c r="C135" s="29" t="s">
        <v>11</v>
      </c>
      <c r="D135" s="40">
        <f>((3.72*2+1.58*2+0.15*2+2+2.5*3+2+4.32)*3.2-(1.1*2.1*5-1*2.2))*1.05</f>
        <v>79.961700000000036</v>
      </c>
      <c r="E135" s="182"/>
    </row>
    <row r="136" spans="1:5">
      <c r="E136" s="182"/>
    </row>
    <row r="137" spans="1:5" ht="75">
      <c r="A137" s="17">
        <f>COUNT($A$5:A135)+1</f>
        <v>12</v>
      </c>
      <c r="B137" s="1" t="s">
        <v>541</v>
      </c>
      <c r="E137" s="182"/>
    </row>
    <row r="138" spans="1:5" ht="75">
      <c r="B138" s="1" t="s">
        <v>1149</v>
      </c>
      <c r="E138" s="182"/>
    </row>
    <row r="139" spans="1:5" ht="75">
      <c r="B139" s="1" t="s">
        <v>1150</v>
      </c>
      <c r="E139" s="182"/>
    </row>
    <row r="140" spans="1:5" ht="90">
      <c r="B140" s="1" t="s">
        <v>534</v>
      </c>
      <c r="E140" s="182"/>
    </row>
    <row r="141" spans="1:5" ht="75">
      <c r="B141" s="1" t="s">
        <v>164</v>
      </c>
      <c r="E141" s="182"/>
    </row>
    <row r="142" spans="1:5" ht="30">
      <c r="B142" s="1" t="s">
        <v>165</v>
      </c>
    </row>
    <row r="143" spans="1:5" ht="30">
      <c r="B143" s="1" t="s">
        <v>166</v>
      </c>
    </row>
    <row r="144" spans="1:5">
      <c r="B144" s="1" t="s">
        <v>167</v>
      </c>
    </row>
    <row r="145" spans="1:5">
      <c r="B145" s="1" t="s">
        <v>168</v>
      </c>
      <c r="C145" s="29" t="s">
        <v>11</v>
      </c>
      <c r="D145" s="112">
        <v>20</v>
      </c>
      <c r="E145" s="182"/>
    </row>
    <row r="146" spans="1:5">
      <c r="D146" s="112"/>
      <c r="E146" s="182"/>
    </row>
    <row r="147" spans="1:5" ht="105">
      <c r="A147" s="17">
        <f>COUNT($A$5:A141)+1</f>
        <v>13</v>
      </c>
      <c r="B147" s="1" t="s">
        <v>549</v>
      </c>
    </row>
    <row r="148" spans="1:5" ht="60">
      <c r="B148" s="1" t="s">
        <v>169</v>
      </c>
    </row>
    <row r="149" spans="1:5" ht="45">
      <c r="B149" s="1" t="s">
        <v>1151</v>
      </c>
    </row>
    <row r="150" spans="1:5" ht="45">
      <c r="B150" s="1" t="s">
        <v>170</v>
      </c>
    </row>
    <row r="151" spans="1:5">
      <c r="B151" s="1" t="s">
        <v>171</v>
      </c>
      <c r="C151" s="29" t="s">
        <v>11</v>
      </c>
      <c r="D151" s="40">
        <f>((1.05*15)*1.8)*1.1</f>
        <v>31.185000000000006</v>
      </c>
    </row>
    <row r="152" spans="1:5">
      <c r="B152" s="24"/>
    </row>
    <row r="153" spans="1:5" ht="45">
      <c r="A153" s="17">
        <f>COUNT($A$5:A148)+1</f>
        <v>14</v>
      </c>
      <c r="B153" s="1" t="s">
        <v>172</v>
      </c>
    </row>
    <row r="154" spans="1:5">
      <c r="B154" s="1" t="s">
        <v>542</v>
      </c>
      <c r="C154" s="29" t="s">
        <v>18</v>
      </c>
      <c r="D154" s="40">
        <v>12</v>
      </c>
    </row>
    <row r="155" spans="1:5">
      <c r="B155" s="1" t="s">
        <v>543</v>
      </c>
      <c r="C155" s="29" t="s">
        <v>18</v>
      </c>
      <c r="D155" s="40">
        <v>8</v>
      </c>
    </row>
    <row r="156" spans="1:5">
      <c r="B156" s="1" t="s">
        <v>1152</v>
      </c>
      <c r="C156" s="29" t="s">
        <v>18</v>
      </c>
      <c r="D156" s="40">
        <v>15</v>
      </c>
    </row>
    <row r="157" spans="1:5">
      <c r="B157" s="1" t="s">
        <v>544</v>
      </c>
      <c r="C157" s="29" t="s">
        <v>18</v>
      </c>
      <c r="D157" s="40">
        <v>1</v>
      </c>
    </row>
    <row r="158" spans="1:5">
      <c r="E158" s="182"/>
    </row>
    <row r="159" spans="1:5" ht="135">
      <c r="A159" s="17">
        <f>COUNT($A$5:A158)+1</f>
        <v>15</v>
      </c>
      <c r="B159" s="1" t="s">
        <v>545</v>
      </c>
    </row>
    <row r="160" spans="1:5" ht="45">
      <c r="B160" s="1" t="s">
        <v>173</v>
      </c>
    </row>
    <row r="161" spans="1:4">
      <c r="B161" s="1" t="s">
        <v>546</v>
      </c>
      <c r="C161" s="29" t="s">
        <v>18</v>
      </c>
      <c r="D161" s="40">
        <v>6</v>
      </c>
    </row>
    <row r="162" spans="1:4">
      <c r="B162" s="1" t="s">
        <v>547</v>
      </c>
      <c r="C162" s="29" t="s">
        <v>18</v>
      </c>
      <c r="D162" s="40">
        <v>5</v>
      </c>
    </row>
    <row r="163" spans="1:4">
      <c r="B163" s="1" t="s">
        <v>548</v>
      </c>
      <c r="C163" s="29" t="s">
        <v>18</v>
      </c>
      <c r="D163" s="40">
        <v>5</v>
      </c>
    </row>
    <row r="164" spans="1:4">
      <c r="B164" s="24"/>
    </row>
    <row r="165" spans="1:4" ht="112.5" customHeight="1">
      <c r="A165" s="17">
        <f>COUNT($A$5:A164)+1</f>
        <v>16</v>
      </c>
      <c r="B165" s="1" t="s">
        <v>1153</v>
      </c>
    </row>
    <row r="166" spans="1:4">
      <c r="B166" s="1" t="s">
        <v>550</v>
      </c>
      <c r="C166" s="29" t="s">
        <v>18</v>
      </c>
      <c r="D166" s="40">
        <v>21</v>
      </c>
    </row>
    <row r="167" spans="1:4">
      <c r="B167" s="1" t="s">
        <v>1154</v>
      </c>
      <c r="C167" s="29" t="s">
        <v>18</v>
      </c>
      <c r="D167" s="40">
        <v>3</v>
      </c>
    </row>
    <row r="168" spans="1:4">
      <c r="B168" s="1" t="s">
        <v>1155</v>
      </c>
      <c r="C168" s="29" t="s">
        <v>18</v>
      </c>
      <c r="D168" s="40">
        <v>6</v>
      </c>
    </row>
    <row r="169" spans="1:4">
      <c r="B169" s="1" t="s">
        <v>1156</v>
      </c>
      <c r="C169" s="29" t="s">
        <v>18</v>
      </c>
      <c r="D169" s="40">
        <v>7</v>
      </c>
    </row>
    <row r="170" spans="1:4">
      <c r="B170" s="1" t="s">
        <v>1157</v>
      </c>
      <c r="C170" s="29" t="s">
        <v>18</v>
      </c>
      <c r="D170" s="40">
        <v>1</v>
      </c>
    </row>
    <row r="171" spans="1:4">
      <c r="B171" s="24"/>
    </row>
    <row r="172" spans="1:4" ht="105">
      <c r="A172" s="17">
        <f>COUNT($A$5:A170)+1</f>
        <v>17</v>
      </c>
      <c r="B172" s="1" t="s">
        <v>1632</v>
      </c>
    </row>
    <row r="173" spans="1:4" ht="45">
      <c r="B173" s="1" t="s">
        <v>174</v>
      </c>
    </row>
    <row r="174" spans="1:4" ht="30">
      <c r="B174" s="1" t="s">
        <v>175</v>
      </c>
    </row>
    <row r="175" spans="1:4" ht="45">
      <c r="B175" s="1" t="s">
        <v>1169</v>
      </c>
    </row>
    <row r="176" spans="1:4" ht="60">
      <c r="B176" s="1" t="s">
        <v>551</v>
      </c>
    </row>
    <row r="177" spans="1:6" ht="45">
      <c r="B177" s="1" t="s">
        <v>176</v>
      </c>
    </row>
    <row r="178" spans="1:6" ht="75">
      <c r="B178" s="1" t="s">
        <v>552</v>
      </c>
    </row>
    <row r="179" spans="1:6" ht="30">
      <c r="B179" s="1" t="s">
        <v>155</v>
      </c>
    </row>
    <row r="180" spans="1:6" ht="60">
      <c r="B180" s="1" t="s">
        <v>235</v>
      </c>
    </row>
    <row r="181" spans="1:6" ht="30">
      <c r="B181" s="1" t="s">
        <v>177</v>
      </c>
      <c r="C181" s="2"/>
      <c r="D181" s="2"/>
      <c r="E181" s="2"/>
      <c r="F181" s="2"/>
    </row>
    <row r="182" spans="1:6">
      <c r="B182" s="1" t="s">
        <v>1158</v>
      </c>
      <c r="C182" s="29" t="s">
        <v>11</v>
      </c>
      <c r="D182" s="40">
        <f>((137.38+13.14+51.49+41.31+57.6+101.44)*0.7+4.54+7.12+4.31+9.57+69.06+6.57+4.06+14.51+4+13.41+3.15+6.92+5.4+1.04+11.54+12.67+7.72+5.22+3.89+3.62+2.98+11.71+4.84+13.5)*1.1</f>
        <v>564.30220000000008</v>
      </c>
    </row>
    <row r="183" spans="1:6">
      <c r="B183" s="1" t="s">
        <v>1159</v>
      </c>
      <c r="C183" s="29" t="s">
        <v>11</v>
      </c>
      <c r="D183" s="40">
        <f>((137.38+13.14+51.49+41.31+57.6+101.44)*0.3+66.91+30.37)*1.1</f>
        <v>239.78680000000003</v>
      </c>
    </row>
    <row r="185" spans="1:6" ht="90">
      <c r="A185" s="17">
        <f>COUNT($A$5:A184)+1</f>
        <v>18</v>
      </c>
      <c r="B185" s="1" t="s">
        <v>1633</v>
      </c>
    </row>
    <row r="186" spans="1:6" ht="45">
      <c r="B186" s="1" t="s">
        <v>1160</v>
      </c>
    </row>
    <row r="187" spans="1:6" ht="30">
      <c r="B187" s="1" t="s">
        <v>177</v>
      </c>
      <c r="C187" s="29" t="s">
        <v>11</v>
      </c>
      <c r="D187" s="40">
        <f>(67.36*3)*1.2</f>
        <v>242.49599999999998</v>
      </c>
    </row>
    <row r="189" spans="1:6" ht="135">
      <c r="A189" s="17">
        <f>COUNT($A$5:A188)+1</f>
        <v>19</v>
      </c>
      <c r="B189" s="1" t="s">
        <v>1634</v>
      </c>
    </row>
    <row r="190" spans="1:6" ht="30">
      <c r="B190" s="1" t="s">
        <v>1163</v>
      </c>
    </row>
    <row r="191" spans="1:6" ht="45">
      <c r="B191" s="1" t="s">
        <v>1164</v>
      </c>
    </row>
    <row r="192" spans="1:6" ht="60">
      <c r="B192" s="1" t="s">
        <v>551</v>
      </c>
    </row>
    <row r="193" spans="1:10" ht="75">
      <c r="B193" s="1" t="s">
        <v>552</v>
      </c>
    </row>
    <row r="194" spans="1:10" ht="60">
      <c r="B194" s="1" t="s">
        <v>1165</v>
      </c>
    </row>
    <row r="195" spans="1:10" ht="60">
      <c r="B195" s="1" t="s">
        <v>235</v>
      </c>
    </row>
    <row r="196" spans="1:10" ht="30">
      <c r="B196" s="1" t="s">
        <v>1166</v>
      </c>
      <c r="C196" s="2"/>
      <c r="D196" s="2"/>
      <c r="E196" s="2"/>
      <c r="F196" s="2"/>
    </row>
    <row r="197" spans="1:10">
      <c r="B197" s="1" t="s">
        <v>1167</v>
      </c>
      <c r="C197" s="29" t="s">
        <v>11</v>
      </c>
      <c r="D197" s="40">
        <f>(43.16*0.45)*1.1</f>
        <v>21.364200000000004</v>
      </c>
    </row>
    <row r="198" spans="1:10">
      <c r="B198" s="1" t="s">
        <v>1168</v>
      </c>
      <c r="C198" s="29" t="s">
        <v>11</v>
      </c>
      <c r="D198" s="40">
        <f>((10.13*3*0.25))*1.1</f>
        <v>8.3572500000000005</v>
      </c>
    </row>
    <row r="199" spans="1:10">
      <c r="E199" s="182"/>
    </row>
    <row r="200" spans="1:10" ht="165">
      <c r="A200" s="17">
        <f>COUNT($A$5:A199)+1</f>
        <v>20</v>
      </c>
      <c r="B200" s="1" t="s">
        <v>236</v>
      </c>
    </row>
    <row r="201" spans="1:10">
      <c r="A201" s="23"/>
      <c r="B201" s="1" t="s">
        <v>178</v>
      </c>
    </row>
    <row r="202" spans="1:10">
      <c r="A202" s="23"/>
      <c r="B202" s="1" t="s">
        <v>237</v>
      </c>
      <c r="C202" s="29" t="s">
        <v>18</v>
      </c>
      <c r="D202" s="40">
        <v>40</v>
      </c>
    </row>
    <row r="203" spans="1:10">
      <c r="A203" s="23"/>
      <c r="B203" s="1" t="s">
        <v>238</v>
      </c>
      <c r="C203" s="29" t="s">
        <v>18</v>
      </c>
      <c r="D203" s="40">
        <v>30</v>
      </c>
    </row>
    <row r="204" spans="1:10">
      <c r="A204" s="23"/>
      <c r="B204" s="1" t="s">
        <v>239</v>
      </c>
      <c r="C204" s="29" t="s">
        <v>18</v>
      </c>
      <c r="D204" s="112">
        <v>5</v>
      </c>
    </row>
    <row r="205" spans="1:10">
      <c r="A205" s="23"/>
      <c r="B205" s="24"/>
    </row>
    <row r="206" spans="1:10" s="1" customFormat="1" ht="375">
      <c r="A206" s="17">
        <f>COUNT($A$5:A205)+1</f>
        <v>21</v>
      </c>
      <c r="B206" s="1" t="s">
        <v>1161</v>
      </c>
      <c r="C206" s="31"/>
      <c r="D206" s="105"/>
      <c r="E206" s="184"/>
      <c r="F206" s="183"/>
      <c r="G206" s="77"/>
      <c r="H206" s="77"/>
      <c r="I206" s="77"/>
      <c r="J206" s="77"/>
    </row>
    <row r="207" spans="1:10" s="1" customFormat="1">
      <c r="A207" s="140"/>
      <c r="B207" s="1" t="s">
        <v>1162</v>
      </c>
      <c r="C207" s="31" t="s">
        <v>11</v>
      </c>
      <c r="D207" s="105">
        <v>10</v>
      </c>
      <c r="E207" s="184"/>
      <c r="F207" s="183"/>
      <c r="G207" s="77"/>
      <c r="H207" s="77"/>
      <c r="I207" s="77"/>
      <c r="J207" s="77"/>
    </row>
    <row r="208" spans="1:10" s="1" customFormat="1">
      <c r="A208" s="140"/>
      <c r="B208" s="1" t="s">
        <v>553</v>
      </c>
      <c r="C208" s="31" t="s">
        <v>18</v>
      </c>
      <c r="D208" s="105">
        <v>2</v>
      </c>
      <c r="E208" s="184"/>
      <c r="F208" s="183"/>
      <c r="G208" s="77"/>
      <c r="H208" s="77"/>
      <c r="I208" s="77"/>
      <c r="J208" s="77"/>
    </row>
    <row r="209" spans="1:6">
      <c r="A209" s="23"/>
      <c r="B209" s="24"/>
    </row>
    <row r="210" spans="1:6">
      <c r="A210" s="17">
        <f>COUNT($A$5:A209)+1</f>
        <v>22</v>
      </c>
      <c r="B210" s="24" t="s">
        <v>1648</v>
      </c>
    </row>
    <row r="211" spans="1:6" ht="90">
      <c r="A211" s="23"/>
      <c r="B211" s="1" t="s">
        <v>1649</v>
      </c>
      <c r="C211" s="31" t="s">
        <v>11</v>
      </c>
      <c r="D211" s="105">
        <v>10</v>
      </c>
      <c r="E211" s="184"/>
    </row>
    <row r="212" spans="1:6">
      <c r="A212" s="23"/>
      <c r="B212" s="24"/>
    </row>
    <row r="213" spans="1:6">
      <c r="B213" s="24"/>
    </row>
    <row r="214" spans="1:6">
      <c r="A214" s="172" t="s">
        <v>249</v>
      </c>
      <c r="B214" s="173" t="s">
        <v>530</v>
      </c>
      <c r="C214" s="174"/>
      <c r="D214" s="175"/>
      <c r="E214" s="203"/>
      <c r="F214" s="193"/>
    </row>
    <row r="216" spans="1:6">
      <c r="B216" s="24"/>
    </row>
    <row r="221" spans="1:6">
      <c r="A221" s="23"/>
    </row>
    <row r="222" spans="1:6">
      <c r="A222" s="23"/>
    </row>
    <row r="223" spans="1:6">
      <c r="A223" s="23"/>
    </row>
  </sheetData>
  <pageMargins left="0.7" right="0.7" top="0.79625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18.xml><?xml version="1.0" encoding="utf-8"?>
<worksheet xmlns="http://schemas.openxmlformats.org/spreadsheetml/2006/main" xmlns:r="http://schemas.openxmlformats.org/officeDocument/2006/relationships">
  <sheetPr>
    <tabColor rgb="FF0070C0"/>
  </sheetPr>
  <dimension ref="A1:O28"/>
  <sheetViews>
    <sheetView showZeros="0" view="pageBreakPreview" zoomScale="85" zoomScaleNormal="90" zoomScaleSheetLayoutView="85" workbookViewId="0">
      <selection activeCell="E8" sqref="E8"/>
    </sheetView>
  </sheetViews>
  <sheetFormatPr defaultColWidth="8.85546875" defaultRowHeight="15"/>
  <cols>
    <col min="1" max="1" width="8.7109375" style="17" customWidth="1"/>
    <col min="2" max="2" width="45.140625" style="1" customWidth="1"/>
    <col min="3" max="3" width="8.5703125" style="29" customWidth="1"/>
    <col min="4" max="4" width="10.7109375" style="40" customWidth="1"/>
    <col min="5" max="5" width="13.7109375" style="183" customWidth="1"/>
    <col min="6" max="6" width="16.7109375" style="183" customWidth="1"/>
    <col min="7" max="11" width="8.85546875" style="2"/>
    <col min="12" max="12" width="62.28515625" style="2" customWidth="1"/>
    <col min="13" max="16384" width="8.85546875" style="2"/>
  </cols>
  <sheetData>
    <row r="1" spans="1:6">
      <c r="A1" s="107" t="s">
        <v>260</v>
      </c>
      <c r="B1" s="107" t="s">
        <v>261</v>
      </c>
      <c r="C1" s="64" t="s">
        <v>262</v>
      </c>
      <c r="D1" s="109" t="s">
        <v>263</v>
      </c>
      <c r="E1" s="186" t="s">
        <v>264</v>
      </c>
      <c r="F1" s="187" t="s">
        <v>265</v>
      </c>
    </row>
    <row r="3" spans="1:6">
      <c r="A3" s="17" t="s">
        <v>684</v>
      </c>
      <c r="B3" s="25" t="s">
        <v>583</v>
      </c>
      <c r="E3" s="182"/>
    </row>
    <row r="4" spans="1:6">
      <c r="A4" s="50"/>
      <c r="E4" s="182"/>
    </row>
    <row r="5" spans="1:6">
      <c r="A5" s="50"/>
      <c r="E5" s="182"/>
    </row>
    <row r="6" spans="1:6">
      <c r="A6" s="17">
        <f>COUNT($A$5:A5)+1</f>
        <v>1</v>
      </c>
      <c r="B6" s="1" t="s">
        <v>586</v>
      </c>
      <c r="E6" s="182"/>
    </row>
    <row r="7" spans="1:6" ht="49.5" customHeight="1">
      <c r="A7" s="123"/>
      <c r="B7" s="1" t="s">
        <v>1182</v>
      </c>
      <c r="E7" s="182"/>
    </row>
    <row r="8" spans="1:6" ht="105">
      <c r="A8" s="123"/>
      <c r="B8" s="1" t="s">
        <v>1170</v>
      </c>
      <c r="E8" s="182"/>
    </row>
    <row r="9" spans="1:6" ht="90">
      <c r="A9" s="23"/>
      <c r="B9" s="1" t="s">
        <v>1171</v>
      </c>
      <c r="C9" s="42"/>
      <c r="D9" s="41"/>
      <c r="E9" s="180"/>
      <c r="F9" s="181"/>
    </row>
    <row r="10" spans="1:6" ht="60.75" customHeight="1">
      <c r="A10" s="23"/>
      <c r="B10" s="1" t="s">
        <v>585</v>
      </c>
      <c r="C10" s="42"/>
      <c r="D10" s="41"/>
      <c r="E10" s="180"/>
      <c r="F10" s="181"/>
    </row>
    <row r="11" spans="1:6" ht="30">
      <c r="A11" s="23"/>
      <c r="B11" s="1" t="s">
        <v>587</v>
      </c>
      <c r="E11" s="182"/>
    </row>
    <row r="12" spans="1:6" ht="45">
      <c r="A12" s="23"/>
      <c r="B12" s="1" t="s">
        <v>588</v>
      </c>
      <c r="C12" s="29" t="s">
        <v>11</v>
      </c>
      <c r="D12" s="40">
        <f>(18.42+69.06)*1.1</f>
        <v>96.228000000000009</v>
      </c>
      <c r="E12" s="182"/>
    </row>
    <row r="13" spans="1:6">
      <c r="A13" s="50"/>
      <c r="B13" s="4"/>
      <c r="C13" s="42"/>
      <c r="D13" s="41"/>
      <c r="E13" s="180"/>
    </row>
    <row r="14" spans="1:6" ht="30">
      <c r="A14" s="17">
        <f>COUNT($A$5:A13)+1</f>
        <v>2</v>
      </c>
      <c r="B14" s="1" t="s">
        <v>1178</v>
      </c>
      <c r="E14" s="182"/>
    </row>
    <row r="15" spans="1:6" ht="75">
      <c r="B15" s="259" t="s">
        <v>1179</v>
      </c>
      <c r="E15" s="182"/>
    </row>
    <row r="16" spans="1:6" ht="30">
      <c r="A16" s="123"/>
      <c r="B16" s="1" t="s">
        <v>1180</v>
      </c>
      <c r="C16" s="42"/>
      <c r="D16" s="41"/>
      <c r="E16" s="180"/>
    </row>
    <row r="17" spans="1:15">
      <c r="A17" s="123"/>
      <c r="B17" s="1" t="s">
        <v>225</v>
      </c>
      <c r="C17" s="29" t="s">
        <v>130</v>
      </c>
      <c r="D17" s="40">
        <v>7.3</v>
      </c>
      <c r="E17" s="182"/>
    </row>
    <row r="18" spans="1:15">
      <c r="A18" s="123"/>
      <c r="B18" s="129"/>
      <c r="C18" s="42"/>
      <c r="D18" s="41"/>
      <c r="E18" s="180"/>
    </row>
    <row r="19" spans="1:15" s="85" customFormat="1" ht="120">
      <c r="A19" s="17">
        <f>COUNT($A$5:A18)+1</f>
        <v>3</v>
      </c>
      <c r="B19" s="1" t="s">
        <v>1198</v>
      </c>
      <c r="C19" s="86"/>
      <c r="D19" s="87"/>
      <c r="E19" s="204"/>
      <c r="F19" s="183"/>
    </row>
    <row r="20" spans="1:15" s="85" customFormat="1">
      <c r="A20" s="33"/>
      <c r="B20" s="1" t="s">
        <v>582</v>
      </c>
      <c r="C20" s="29" t="s">
        <v>130</v>
      </c>
      <c r="D20" s="40">
        <f>(35+2.23*2+7.3)*1.1</f>
        <v>51.436</v>
      </c>
      <c r="E20" s="182"/>
      <c r="F20" s="183"/>
    </row>
    <row r="21" spans="1:15">
      <c r="E21" s="182"/>
      <c r="K21" s="23"/>
      <c r="L21" s="1"/>
      <c r="O21" s="3"/>
    </row>
    <row r="22" spans="1:15">
      <c r="A22" s="23"/>
      <c r="B22" s="24"/>
      <c r="E22" s="182"/>
    </row>
    <row r="23" spans="1:15">
      <c r="A23" s="172" t="s">
        <v>684</v>
      </c>
      <c r="B23" s="173" t="s">
        <v>584</v>
      </c>
      <c r="C23" s="174"/>
      <c r="D23" s="175"/>
      <c r="E23" s="192"/>
      <c r="F23" s="193"/>
    </row>
    <row r="24" spans="1:15">
      <c r="A24" s="50"/>
      <c r="B24" s="4"/>
      <c r="C24" s="42"/>
      <c r="D24" s="41"/>
      <c r="E24" s="180"/>
      <c r="F24" s="181"/>
    </row>
    <row r="25" spans="1:15">
      <c r="A25" s="50"/>
      <c r="B25" s="4"/>
      <c r="C25" s="42"/>
      <c r="D25" s="41"/>
      <c r="E25" s="180"/>
      <c r="F25" s="181"/>
    </row>
    <row r="26" spans="1:15">
      <c r="E26" s="182"/>
    </row>
    <row r="27" spans="1:15">
      <c r="E27" s="182"/>
    </row>
    <row r="28" spans="1:15">
      <c r="B28" s="24"/>
      <c r="E28" s="182"/>
    </row>
  </sheetData>
  <pageMargins left="0.7" right="0.7" top="0.80500000000000005"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19.xml><?xml version="1.0" encoding="utf-8"?>
<worksheet xmlns="http://schemas.openxmlformats.org/spreadsheetml/2006/main" xmlns:r="http://schemas.openxmlformats.org/officeDocument/2006/relationships">
  <sheetPr>
    <tabColor rgb="FF0070C0"/>
  </sheetPr>
  <dimension ref="A1:L75"/>
  <sheetViews>
    <sheetView showZeros="0" view="pageBreakPreview" zoomScale="85" zoomScaleNormal="100" zoomScaleSheetLayoutView="85" workbookViewId="0">
      <selection activeCell="E2" sqref="E2:G74"/>
    </sheetView>
  </sheetViews>
  <sheetFormatPr defaultColWidth="8.85546875" defaultRowHeight="15"/>
  <cols>
    <col min="1" max="1" width="8.7109375" style="17" customWidth="1"/>
    <col min="2" max="2" width="45.140625" style="1" customWidth="1"/>
    <col min="3" max="3" width="8.5703125" style="29" customWidth="1"/>
    <col min="4" max="4" width="10.7109375" style="40" customWidth="1"/>
    <col min="5" max="5" width="13.85546875" style="183" customWidth="1"/>
    <col min="6" max="6" width="16.7109375" style="183" customWidth="1"/>
    <col min="7" max="11" width="8.85546875" style="2"/>
    <col min="12" max="12" width="62.28515625" style="2" customWidth="1"/>
    <col min="13" max="16384" width="8.85546875" style="2"/>
  </cols>
  <sheetData>
    <row r="1" spans="1:12">
      <c r="A1" s="107" t="s">
        <v>260</v>
      </c>
      <c r="B1" s="107" t="s">
        <v>261</v>
      </c>
      <c r="C1" s="64" t="s">
        <v>262</v>
      </c>
      <c r="D1" s="109" t="s">
        <v>263</v>
      </c>
      <c r="E1" s="186" t="s">
        <v>264</v>
      </c>
      <c r="F1" s="187" t="s">
        <v>265</v>
      </c>
    </row>
    <row r="3" spans="1:12">
      <c r="A3" s="17" t="s">
        <v>250</v>
      </c>
      <c r="B3" s="25" t="s">
        <v>145</v>
      </c>
      <c r="E3" s="182"/>
    </row>
    <row r="4" spans="1:12">
      <c r="E4" s="182"/>
    </row>
    <row r="5" spans="1:12">
      <c r="B5" s="1" t="s">
        <v>633</v>
      </c>
      <c r="E5" s="182"/>
    </row>
    <row r="6" spans="1:12" ht="120">
      <c r="B6" s="1" t="s">
        <v>632</v>
      </c>
      <c r="E6" s="182"/>
    </row>
    <row r="7" spans="1:12">
      <c r="E7" s="182"/>
    </row>
    <row r="8" spans="1:12" ht="45">
      <c r="A8" s="17">
        <f>COUNT($A$7:A7)+1</f>
        <v>1</v>
      </c>
      <c r="B8" s="1" t="s">
        <v>578</v>
      </c>
      <c r="E8" s="182"/>
      <c r="L8" s="1"/>
    </row>
    <row r="9" spans="1:12" ht="64.5" customHeight="1">
      <c r="A9" s="23"/>
      <c r="B9" s="1" t="s">
        <v>146</v>
      </c>
      <c r="E9" s="182"/>
    </row>
    <row r="10" spans="1:12" ht="165">
      <c r="A10" s="23"/>
      <c r="B10" s="1" t="s">
        <v>147</v>
      </c>
      <c r="E10" s="182"/>
    </row>
    <row r="11" spans="1:12" ht="30">
      <c r="A11" s="23"/>
      <c r="B11" s="1" t="s">
        <v>148</v>
      </c>
      <c r="C11" s="29" t="s">
        <v>11</v>
      </c>
      <c r="D11" s="40">
        <v>1100</v>
      </c>
      <c r="E11" s="182"/>
    </row>
    <row r="12" spans="1:12">
      <c r="A12" s="23"/>
      <c r="E12" s="182"/>
    </row>
    <row r="13" spans="1:12" ht="30">
      <c r="A13" s="17">
        <f>COUNT($A$7:A12)+1</f>
        <v>2</v>
      </c>
      <c r="B13" s="1" t="s">
        <v>3388</v>
      </c>
      <c r="E13" s="182"/>
    </row>
    <row r="14" spans="1:12" ht="30">
      <c r="A14" s="23"/>
      <c r="B14" s="1" t="s">
        <v>1189</v>
      </c>
      <c r="E14" s="182"/>
    </row>
    <row r="15" spans="1:12" ht="30">
      <c r="A15" s="23"/>
      <c r="B15" s="1" t="s">
        <v>579</v>
      </c>
      <c r="E15" s="182"/>
    </row>
    <row r="16" spans="1:12" ht="195">
      <c r="A16" s="23"/>
      <c r="B16" s="1" t="s">
        <v>1196</v>
      </c>
      <c r="E16" s="182"/>
    </row>
    <row r="17" spans="1:5" ht="165">
      <c r="A17" s="23"/>
      <c r="B17" s="1" t="s">
        <v>1195</v>
      </c>
      <c r="E17" s="182"/>
    </row>
    <row r="18" spans="1:5" ht="45">
      <c r="A18" s="23"/>
      <c r="B18" s="1" t="s">
        <v>1190</v>
      </c>
      <c r="E18" s="182"/>
    </row>
    <row r="19" spans="1:5">
      <c r="A19" s="23"/>
      <c r="B19" s="1" t="s">
        <v>580</v>
      </c>
    </row>
    <row r="20" spans="1:5">
      <c r="A20" s="23"/>
      <c r="B20" s="1" t="s">
        <v>581</v>
      </c>
      <c r="C20" s="29" t="s">
        <v>11</v>
      </c>
      <c r="D20" s="40">
        <f>(66.91+30.37+67.36*2+7.9+5.7+3.74+3.74+3.98+7.25+11.09+23.98+137.38+22.8+7.94+10.77)*1.1</f>
        <v>526.09699999999998</v>
      </c>
      <c r="E20" s="182"/>
    </row>
    <row r="21" spans="1:5">
      <c r="A21" s="23"/>
      <c r="B21" s="1" t="s">
        <v>1188</v>
      </c>
      <c r="C21" s="29" t="s">
        <v>130</v>
      </c>
      <c r="D21" s="40">
        <f>((7.27*2+9.2*2+5.83+4.94+5.36+44.26*2+34.25*2+4+10+8.36*2+8+3.87*2+3.72*2+2.98*2+3.42*4+7.01*2+6.67*2+3.92*2+2.71*2+3.76*2))</f>
        <v>327.76999999999992</v>
      </c>
      <c r="E21" s="182"/>
    </row>
    <row r="22" spans="1:5">
      <c r="A22" s="23"/>
      <c r="E22" s="182"/>
    </row>
    <row r="23" spans="1:5" ht="30">
      <c r="A23" s="17">
        <f>COUNT($A$7:A22)+1</f>
        <v>3</v>
      </c>
      <c r="B23" s="1" t="s">
        <v>3389</v>
      </c>
      <c r="E23" s="182"/>
    </row>
    <row r="24" spans="1:5" ht="30">
      <c r="A24" s="23"/>
      <c r="B24" s="1" t="s">
        <v>1189</v>
      </c>
      <c r="E24" s="182"/>
    </row>
    <row r="25" spans="1:5" ht="30">
      <c r="A25" s="23"/>
      <c r="B25" s="1" t="s">
        <v>579</v>
      </c>
      <c r="E25" s="182"/>
    </row>
    <row r="26" spans="1:5" ht="165">
      <c r="A26" s="23"/>
      <c r="B26" s="1" t="s">
        <v>1194</v>
      </c>
      <c r="E26" s="182"/>
    </row>
    <row r="27" spans="1:5" ht="165">
      <c r="A27" s="23"/>
      <c r="B27" s="1" t="s">
        <v>1195</v>
      </c>
      <c r="E27" s="182"/>
    </row>
    <row r="28" spans="1:5" ht="45">
      <c r="A28" s="23"/>
      <c r="B28" s="1" t="s">
        <v>149</v>
      </c>
      <c r="E28" s="182"/>
    </row>
    <row r="29" spans="1:5">
      <c r="A29" s="23"/>
      <c r="B29" s="1" t="s">
        <v>580</v>
      </c>
    </row>
    <row r="30" spans="1:5">
      <c r="A30" s="23"/>
      <c r="B30" s="1" t="s">
        <v>581</v>
      </c>
      <c r="C30" s="29" t="s">
        <v>11</v>
      </c>
      <c r="D30" s="40">
        <f>(67.36)*1.05</f>
        <v>70.728000000000009</v>
      </c>
      <c r="E30" s="182"/>
    </row>
    <row r="31" spans="1:5">
      <c r="A31" s="23"/>
      <c r="B31" s="1" t="s">
        <v>1188</v>
      </c>
      <c r="C31" s="29" t="s">
        <v>130</v>
      </c>
      <c r="D31" s="40">
        <f>((34.25))*1.05</f>
        <v>35.962499999999999</v>
      </c>
      <c r="E31" s="182"/>
    </row>
    <row r="32" spans="1:5">
      <c r="A32" s="23"/>
      <c r="B32" s="24"/>
      <c r="E32" s="182"/>
    </row>
    <row r="33" spans="1:5">
      <c r="A33" s="17">
        <f>COUNT($A$7:A32)+1</f>
        <v>4</v>
      </c>
      <c r="B33" s="1" t="s">
        <v>3390</v>
      </c>
      <c r="E33" s="182"/>
    </row>
    <row r="34" spans="1:5" ht="45">
      <c r="B34" s="1" t="s">
        <v>1199</v>
      </c>
      <c r="E34" s="182"/>
    </row>
    <row r="35" spans="1:5" ht="60">
      <c r="A35" s="23"/>
      <c r="B35" s="1" t="s">
        <v>3391</v>
      </c>
      <c r="E35" s="182"/>
    </row>
    <row r="36" spans="1:5" ht="30">
      <c r="A36" s="23"/>
      <c r="B36" s="1" t="s">
        <v>1191</v>
      </c>
      <c r="E36" s="182"/>
    </row>
    <row r="37" spans="1:5" ht="90">
      <c r="A37" s="23"/>
      <c r="B37" s="1" t="s">
        <v>1193</v>
      </c>
      <c r="E37" s="182"/>
    </row>
    <row r="38" spans="1:5" ht="75">
      <c r="A38" s="23"/>
      <c r="B38" s="1" t="s">
        <v>1197</v>
      </c>
      <c r="E38" s="182"/>
    </row>
    <row r="39" spans="1:5">
      <c r="A39" s="23"/>
      <c r="B39" s="1" t="s">
        <v>1192</v>
      </c>
      <c r="E39" s="182"/>
    </row>
    <row r="40" spans="1:5" ht="45">
      <c r="A40" s="23"/>
      <c r="B40" s="1" t="s">
        <v>149</v>
      </c>
      <c r="E40" s="182"/>
    </row>
    <row r="41" spans="1:5">
      <c r="A41" s="23"/>
      <c r="B41" s="1" t="s">
        <v>580</v>
      </c>
      <c r="C41" s="29" t="s">
        <v>11</v>
      </c>
      <c r="D41" s="40">
        <f>(101.44+7.27*1.2)*1.05</f>
        <v>115.6722</v>
      </c>
      <c r="E41" s="182"/>
    </row>
    <row r="42" spans="1:5">
      <c r="A42" s="23"/>
      <c r="E42" s="182"/>
    </row>
    <row r="43" spans="1:5" ht="30">
      <c r="A43" s="17">
        <f>COUNT($A$7:A42)+1</f>
        <v>5</v>
      </c>
      <c r="B43" s="1" t="s">
        <v>3392</v>
      </c>
      <c r="E43" s="182"/>
    </row>
    <row r="44" spans="1:5" ht="120">
      <c r="B44" s="1" t="s">
        <v>1651</v>
      </c>
      <c r="E44" s="182"/>
    </row>
    <row r="45" spans="1:5" ht="30">
      <c r="A45" s="23"/>
      <c r="B45" s="1" t="s">
        <v>1650</v>
      </c>
      <c r="C45" s="29" t="s">
        <v>11</v>
      </c>
      <c r="D45" s="40">
        <f>(8.1+1.25)*7.27*1.05</f>
        <v>71.373224999999991</v>
      </c>
      <c r="E45" s="182"/>
    </row>
    <row r="46" spans="1:5">
      <c r="A46" s="23"/>
      <c r="B46" s="24"/>
      <c r="E46" s="182"/>
    </row>
    <row r="47" spans="1:5">
      <c r="A47" s="23"/>
      <c r="B47" s="24"/>
      <c r="E47" s="182"/>
    </row>
    <row r="48" spans="1:5" ht="45">
      <c r="A48" s="17">
        <f>COUNT($A$7:A47)+1</f>
        <v>6</v>
      </c>
      <c r="B48" s="1" t="s">
        <v>1183</v>
      </c>
      <c r="E48" s="182"/>
    </row>
    <row r="49" spans="1:5" ht="165">
      <c r="A49" s="23"/>
      <c r="B49" s="1" t="s">
        <v>1184</v>
      </c>
      <c r="E49" s="182"/>
    </row>
    <row r="50" spans="1:5" ht="75">
      <c r="A50" s="23"/>
      <c r="B50" s="1" t="s">
        <v>1185</v>
      </c>
      <c r="E50" s="182"/>
    </row>
    <row r="51" spans="1:5" ht="30">
      <c r="A51" s="23"/>
      <c r="B51" s="1" t="s">
        <v>151</v>
      </c>
      <c r="E51" s="182"/>
    </row>
    <row r="52" spans="1:5" ht="45">
      <c r="A52" s="23"/>
      <c r="B52" s="1" t="s">
        <v>152</v>
      </c>
      <c r="E52" s="182"/>
    </row>
    <row r="53" spans="1:5">
      <c r="A53" s="23"/>
      <c r="B53" s="1" t="s">
        <v>153</v>
      </c>
      <c r="E53" s="182"/>
    </row>
    <row r="54" spans="1:5">
      <c r="A54" s="17" t="s">
        <v>16</v>
      </c>
      <c r="B54" s="1" t="s">
        <v>257</v>
      </c>
      <c r="C54" s="29" t="s">
        <v>18</v>
      </c>
      <c r="D54" s="40">
        <v>10</v>
      </c>
      <c r="E54" s="182"/>
    </row>
    <row r="55" spans="1:5">
      <c r="A55" s="17" t="s">
        <v>17</v>
      </c>
      <c r="B55" s="1" t="s">
        <v>258</v>
      </c>
      <c r="C55" s="29" t="s">
        <v>18</v>
      </c>
      <c r="D55" s="40">
        <v>40</v>
      </c>
      <c r="E55" s="182"/>
    </row>
    <row r="56" spans="1:5" ht="60">
      <c r="A56" s="17" t="s">
        <v>112</v>
      </c>
      <c r="B56" s="1" t="s">
        <v>1186</v>
      </c>
      <c r="C56" s="29" t="s">
        <v>130</v>
      </c>
      <c r="D56" s="40">
        <v>3</v>
      </c>
      <c r="E56" s="182"/>
    </row>
    <row r="57" spans="1:5">
      <c r="E57" s="182"/>
    </row>
    <row r="58" spans="1:5" ht="30">
      <c r="A58" s="17">
        <f>COUNT($A$7:A57)+1</f>
        <v>7</v>
      </c>
      <c r="B58" s="1" t="s">
        <v>1200</v>
      </c>
      <c r="E58" s="182"/>
    </row>
    <row r="59" spans="1:5" ht="30">
      <c r="B59" s="1" t="s">
        <v>1187</v>
      </c>
      <c r="E59" s="182"/>
    </row>
    <row r="60" spans="1:5">
      <c r="A60" s="23"/>
      <c r="B60" s="1" t="s">
        <v>225</v>
      </c>
      <c r="C60" s="29" t="s">
        <v>130</v>
      </c>
      <c r="D60" s="40">
        <f>SUM((1.2*7))*1.05</f>
        <v>8.82</v>
      </c>
      <c r="E60" s="182"/>
    </row>
    <row r="61" spans="1:5">
      <c r="A61" s="23"/>
      <c r="E61" s="182"/>
    </row>
    <row r="62" spans="1:5">
      <c r="A62" s="23"/>
      <c r="E62" s="182"/>
    </row>
    <row r="63" spans="1:5">
      <c r="A63" s="23"/>
      <c r="E63" s="182"/>
    </row>
    <row r="64" spans="1:5">
      <c r="E64" s="182"/>
    </row>
    <row r="65" spans="1:6">
      <c r="A65" s="23"/>
      <c r="E65" s="182"/>
    </row>
    <row r="66" spans="1:6">
      <c r="A66" s="23"/>
      <c r="E66" s="182"/>
    </row>
    <row r="67" spans="1:6">
      <c r="A67" s="23"/>
      <c r="E67" s="182"/>
    </row>
    <row r="68" spans="1:6">
      <c r="A68" s="23"/>
      <c r="B68" s="24"/>
      <c r="E68" s="182"/>
    </row>
    <row r="69" spans="1:6">
      <c r="A69" s="23"/>
      <c r="B69" s="24"/>
      <c r="E69" s="182"/>
    </row>
    <row r="70" spans="1:6">
      <c r="A70" s="172" t="s">
        <v>250</v>
      </c>
      <c r="B70" s="173" t="s">
        <v>154</v>
      </c>
      <c r="C70" s="174"/>
      <c r="D70" s="175"/>
      <c r="E70" s="192"/>
      <c r="F70" s="193"/>
    </row>
    <row r="71" spans="1:6">
      <c r="E71" s="182"/>
    </row>
    <row r="72" spans="1:6">
      <c r="E72" s="182"/>
    </row>
    <row r="73" spans="1:6">
      <c r="E73" s="182"/>
    </row>
    <row r="74" spans="1:6" s="55" customFormat="1">
      <c r="A74" s="17"/>
      <c r="B74" s="1"/>
      <c r="C74" s="29"/>
      <c r="D74" s="40"/>
      <c r="E74" s="182"/>
      <c r="F74" s="183"/>
    </row>
    <row r="75" spans="1:6" s="55" customFormat="1">
      <c r="A75" s="17"/>
      <c r="B75" s="24"/>
      <c r="C75" s="29"/>
      <c r="D75" s="40"/>
      <c r="E75" s="182"/>
      <c r="F75" s="183"/>
    </row>
  </sheetData>
  <pageMargins left="0.7" right="0.7" top="0.80500000000000005"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2.xml><?xml version="1.0" encoding="utf-8"?>
<worksheet xmlns="http://schemas.openxmlformats.org/spreadsheetml/2006/main" xmlns:r="http://schemas.openxmlformats.org/officeDocument/2006/relationships">
  <sheetPr>
    <tabColor rgb="FFFF0000"/>
  </sheetPr>
  <dimension ref="A1:F198"/>
  <sheetViews>
    <sheetView view="pageBreakPreview" zoomScale="85" zoomScaleNormal="85" zoomScaleSheetLayoutView="85" workbookViewId="0">
      <selection activeCell="F34" sqref="F34"/>
    </sheetView>
  </sheetViews>
  <sheetFormatPr defaultColWidth="8.85546875" defaultRowHeight="15"/>
  <cols>
    <col min="1" max="1" width="8.7109375" style="9" customWidth="1"/>
    <col min="2" max="2" width="40.7109375" style="6" customWidth="1"/>
    <col min="3" max="3" width="7.7109375" style="12" customWidth="1"/>
    <col min="4" max="4" width="8.7109375" style="12" customWidth="1"/>
    <col min="5" max="5" width="13.7109375" style="12" customWidth="1"/>
    <col min="6" max="6" width="16.7109375" style="12" customWidth="1"/>
    <col min="7" max="16384" width="8.85546875" style="12"/>
  </cols>
  <sheetData>
    <row r="1" spans="1:6">
      <c r="A1" s="43"/>
      <c r="B1" s="5" t="s">
        <v>1721</v>
      </c>
      <c r="E1" s="10"/>
      <c r="F1" s="11"/>
    </row>
    <row r="2" spans="1:6">
      <c r="A2" s="43"/>
      <c r="B2" s="5"/>
      <c r="E2" s="10"/>
      <c r="F2" s="11"/>
    </row>
    <row r="3" spans="1:6" ht="45">
      <c r="A3" s="43"/>
      <c r="B3" s="301" t="s">
        <v>1716</v>
      </c>
      <c r="E3" s="10"/>
      <c r="F3" s="11"/>
    </row>
    <row r="4" spans="1:6" ht="90">
      <c r="A4" s="43"/>
      <c r="B4" s="6" t="s">
        <v>1717</v>
      </c>
      <c r="E4" s="10"/>
      <c r="F4" s="11"/>
    </row>
    <row r="5" spans="1:6" ht="60">
      <c r="A5" s="43"/>
      <c r="B5" s="6" t="s">
        <v>1718</v>
      </c>
      <c r="E5" s="10"/>
      <c r="F5" s="11"/>
    </row>
    <row r="6" spans="1:6" ht="75">
      <c r="A6" s="43"/>
      <c r="B6" s="6" t="s">
        <v>1719</v>
      </c>
      <c r="E6" s="10"/>
      <c r="F6" s="11"/>
    </row>
    <row r="7" spans="1:6">
      <c r="A7" s="43"/>
      <c r="E7" s="10"/>
      <c r="F7" s="11"/>
    </row>
    <row r="8" spans="1:6" ht="45">
      <c r="A8" s="43"/>
      <c r="B8" s="6" t="s">
        <v>820</v>
      </c>
      <c r="E8" s="10"/>
      <c r="F8" s="11"/>
    </row>
    <row r="9" spans="1:6" ht="105">
      <c r="A9" s="43"/>
      <c r="B9" s="6" t="s">
        <v>1720</v>
      </c>
      <c r="E9" s="10"/>
      <c r="F9" s="11"/>
    </row>
    <row r="10" spans="1:6">
      <c r="A10" s="44"/>
      <c r="B10" s="13"/>
      <c r="E10" s="10"/>
      <c r="F10" s="11"/>
    </row>
    <row r="11" spans="1:6" ht="105">
      <c r="A11" s="44"/>
      <c r="B11" s="62" t="s">
        <v>312</v>
      </c>
      <c r="E11" s="10"/>
      <c r="F11" s="11"/>
    </row>
    <row r="12" spans="1:6" ht="45">
      <c r="A12" s="44"/>
      <c r="B12" s="63" t="s">
        <v>313</v>
      </c>
      <c r="E12" s="10"/>
      <c r="F12" s="11"/>
    </row>
    <row r="13" spans="1:6">
      <c r="A13" s="44"/>
      <c r="B13" s="63" t="s">
        <v>314</v>
      </c>
      <c r="E13" s="10"/>
      <c r="F13" s="11"/>
    </row>
    <row r="14" spans="1:6" ht="45">
      <c r="A14" s="44"/>
      <c r="B14" s="63" t="s">
        <v>268</v>
      </c>
      <c r="E14" s="10"/>
      <c r="F14" s="11"/>
    </row>
    <row r="15" spans="1:6" ht="30">
      <c r="A15" s="44"/>
      <c r="B15" s="63" t="s">
        <v>269</v>
      </c>
      <c r="E15" s="10"/>
      <c r="F15" s="11"/>
    </row>
    <row r="16" spans="1:6">
      <c r="A16" s="44"/>
      <c r="B16" s="63" t="s">
        <v>315</v>
      </c>
      <c r="E16" s="10"/>
      <c r="F16" s="11"/>
    </row>
    <row r="17" spans="1:6" ht="45">
      <c r="A17" s="44"/>
      <c r="B17" s="63" t="s">
        <v>316</v>
      </c>
      <c r="E17" s="10"/>
      <c r="F17" s="11"/>
    </row>
    <row r="18" spans="1:6" ht="30">
      <c r="A18" s="44"/>
      <c r="B18" s="63" t="s">
        <v>317</v>
      </c>
      <c r="E18" s="10"/>
      <c r="F18" s="11"/>
    </row>
    <row r="19" spans="1:6">
      <c r="A19" s="22"/>
      <c r="B19" s="63" t="s">
        <v>318</v>
      </c>
      <c r="E19" s="10"/>
      <c r="F19" s="11"/>
    </row>
    <row r="20" spans="1:6">
      <c r="A20" s="22"/>
      <c r="B20" s="63" t="s">
        <v>319</v>
      </c>
      <c r="E20" s="10"/>
      <c r="F20" s="11"/>
    </row>
    <row r="21" spans="1:6">
      <c r="A21" s="22"/>
      <c r="B21" s="63" t="s">
        <v>320</v>
      </c>
      <c r="E21" s="10"/>
      <c r="F21" s="11"/>
    </row>
    <row r="22" spans="1:6">
      <c r="A22" s="44"/>
      <c r="B22" s="63" t="s">
        <v>321</v>
      </c>
      <c r="E22" s="10"/>
      <c r="F22" s="11"/>
    </row>
    <row r="23" spans="1:6">
      <c r="A23" s="44"/>
      <c r="B23" s="63" t="s">
        <v>322</v>
      </c>
      <c r="E23" s="10"/>
      <c r="F23" s="11"/>
    </row>
    <row r="24" spans="1:6">
      <c r="A24" s="44"/>
      <c r="B24" s="63" t="s">
        <v>323</v>
      </c>
      <c r="E24" s="10"/>
      <c r="F24" s="11"/>
    </row>
    <row r="25" spans="1:6">
      <c r="A25" s="44"/>
      <c r="B25" s="63" t="s">
        <v>324</v>
      </c>
    </row>
    <row r="26" spans="1:6" ht="30">
      <c r="A26" s="44"/>
      <c r="B26" s="63" t="s">
        <v>325</v>
      </c>
      <c r="E26" s="10"/>
      <c r="F26" s="11"/>
    </row>
    <row r="27" spans="1:6" s="65" customFormat="1">
      <c r="A27" s="44"/>
      <c r="B27" s="63" t="s">
        <v>326</v>
      </c>
      <c r="C27" s="15"/>
      <c r="D27" s="14"/>
      <c r="E27" s="14"/>
      <c r="F27" s="14"/>
    </row>
    <row r="28" spans="1:6" s="65" customFormat="1">
      <c r="A28" s="45"/>
      <c r="B28" s="63" t="s">
        <v>327</v>
      </c>
      <c r="C28" s="15"/>
      <c r="D28" s="14"/>
      <c r="E28" s="14"/>
      <c r="F28" s="14"/>
    </row>
    <row r="29" spans="1:6" s="65" customFormat="1">
      <c r="A29" s="45"/>
      <c r="B29" s="63" t="s">
        <v>328</v>
      </c>
      <c r="C29" s="15"/>
      <c r="D29" s="14"/>
      <c r="E29" s="14"/>
      <c r="F29" s="14"/>
    </row>
    <row r="30" spans="1:6">
      <c r="A30" s="44"/>
      <c r="B30" s="63" t="s">
        <v>329</v>
      </c>
      <c r="E30" s="10"/>
      <c r="F30" s="11"/>
    </row>
    <row r="31" spans="1:6" ht="30">
      <c r="A31" s="44"/>
      <c r="B31" s="63" t="s">
        <v>330</v>
      </c>
      <c r="E31" s="10"/>
      <c r="F31" s="11"/>
    </row>
    <row r="32" spans="1:6" s="65" customFormat="1">
      <c r="A32" s="44"/>
      <c r="B32" s="63" t="s">
        <v>331</v>
      </c>
      <c r="C32" s="19"/>
      <c r="D32" s="20"/>
      <c r="E32" s="20"/>
      <c r="F32" s="20"/>
    </row>
    <row r="33" spans="1:6" s="65" customFormat="1">
      <c r="A33" s="46"/>
      <c r="B33" s="63" t="s">
        <v>332</v>
      </c>
      <c r="C33" s="19"/>
      <c r="D33" s="20"/>
      <c r="E33" s="20"/>
      <c r="F33" s="20"/>
    </row>
    <row r="34" spans="1:6" s="65" customFormat="1">
      <c r="A34" s="46"/>
      <c r="B34" s="63" t="s">
        <v>333</v>
      </c>
      <c r="C34" s="15"/>
      <c r="D34" s="14"/>
      <c r="E34" s="14"/>
      <c r="F34" s="14"/>
    </row>
    <row r="35" spans="1:6" s="65" customFormat="1">
      <c r="A35" s="46"/>
      <c r="B35" s="63" t="s">
        <v>334</v>
      </c>
      <c r="C35" s="15"/>
      <c r="D35" s="14"/>
      <c r="E35" s="14"/>
      <c r="F35" s="14"/>
    </row>
    <row r="36" spans="1:6" s="65" customFormat="1" ht="30">
      <c r="A36" s="46"/>
      <c r="B36" s="63" t="s">
        <v>335</v>
      </c>
      <c r="C36" s="15"/>
      <c r="D36" s="14"/>
      <c r="E36" s="14"/>
      <c r="F36" s="14"/>
    </row>
    <row r="37" spans="1:6" s="65" customFormat="1" ht="30">
      <c r="A37" s="46"/>
      <c r="B37" s="63" t="s">
        <v>336</v>
      </c>
      <c r="C37" s="15"/>
      <c r="D37" s="14"/>
      <c r="E37" s="14"/>
      <c r="F37" s="14"/>
    </row>
    <row r="38" spans="1:6" s="65" customFormat="1">
      <c r="A38" s="45"/>
      <c r="B38" s="63" t="s">
        <v>337</v>
      </c>
      <c r="C38" s="15"/>
      <c r="D38" s="14"/>
      <c r="E38" s="14"/>
      <c r="F38" s="14"/>
    </row>
    <row r="39" spans="1:6" s="65" customFormat="1">
      <c r="A39" s="45"/>
      <c r="B39" s="63" t="s">
        <v>338</v>
      </c>
      <c r="C39" s="15"/>
      <c r="D39" s="14"/>
      <c r="E39" s="14"/>
      <c r="F39" s="14"/>
    </row>
    <row r="40" spans="1:6">
      <c r="A40" s="44"/>
      <c r="B40" s="63" t="s">
        <v>339</v>
      </c>
      <c r="E40" s="10"/>
      <c r="F40" s="11"/>
    </row>
    <row r="41" spans="1:6">
      <c r="A41" s="44"/>
      <c r="B41" s="63" t="s">
        <v>340</v>
      </c>
      <c r="E41" s="10"/>
      <c r="F41" s="11"/>
    </row>
    <row r="42" spans="1:6" s="65" customFormat="1">
      <c r="A42" s="44"/>
      <c r="B42" s="63" t="s">
        <v>341</v>
      </c>
      <c r="C42" s="15"/>
      <c r="D42" s="14"/>
      <c r="E42" s="14"/>
      <c r="F42" s="14"/>
    </row>
    <row r="43" spans="1:6" s="65" customFormat="1">
      <c r="A43" s="43"/>
      <c r="B43" s="63" t="s">
        <v>342</v>
      </c>
      <c r="C43" s="15"/>
      <c r="D43" s="14"/>
      <c r="E43" s="14"/>
      <c r="F43" s="14"/>
    </row>
    <row r="44" spans="1:6" s="65" customFormat="1">
      <c r="A44" s="43"/>
      <c r="B44" s="63" t="s">
        <v>343</v>
      </c>
      <c r="C44" s="15"/>
      <c r="D44" s="14"/>
      <c r="E44" s="14"/>
      <c r="F44" s="14"/>
    </row>
    <row r="45" spans="1:6" s="65" customFormat="1">
      <c r="A45" s="43"/>
      <c r="B45" s="63" t="s">
        <v>344</v>
      </c>
      <c r="C45" s="15"/>
      <c r="D45" s="14"/>
      <c r="E45" s="14"/>
      <c r="F45" s="14"/>
    </row>
    <row r="46" spans="1:6" s="65" customFormat="1" ht="30">
      <c r="A46" s="43"/>
      <c r="B46" s="63" t="s">
        <v>345</v>
      </c>
      <c r="C46" s="15"/>
      <c r="D46" s="14"/>
      <c r="E46" s="14"/>
      <c r="F46" s="14"/>
    </row>
    <row r="47" spans="1:6" s="65" customFormat="1">
      <c r="A47" s="44"/>
      <c r="B47" s="63" t="s">
        <v>346</v>
      </c>
      <c r="C47" s="15"/>
      <c r="D47" s="14"/>
      <c r="E47" s="14"/>
      <c r="F47" s="14"/>
    </row>
    <row r="48" spans="1:6" s="65" customFormat="1" ht="30">
      <c r="A48" s="43"/>
      <c r="B48" s="63" t="s">
        <v>347</v>
      </c>
      <c r="C48" s="15"/>
      <c r="D48" s="14"/>
      <c r="E48" s="14"/>
      <c r="F48" s="14"/>
    </row>
    <row r="49" spans="1:6" s="65" customFormat="1">
      <c r="A49" s="43"/>
      <c r="B49" s="47"/>
      <c r="C49" s="15"/>
      <c r="D49" s="14"/>
      <c r="E49" s="14"/>
      <c r="F49" s="14"/>
    </row>
    <row r="50" spans="1:6" s="227" customFormat="1" ht="30">
      <c r="B50" s="21" t="s">
        <v>1722</v>
      </c>
      <c r="C50" s="228"/>
      <c r="D50" s="229"/>
      <c r="E50" s="230"/>
      <c r="F50" s="229"/>
    </row>
    <row r="51" spans="1:6" s="227" customFormat="1">
      <c r="B51" s="21"/>
      <c r="C51" s="228"/>
      <c r="D51" s="229"/>
      <c r="E51" s="230"/>
      <c r="F51" s="229"/>
    </row>
    <row r="52" spans="1:6" s="65" customFormat="1">
      <c r="A52" s="43"/>
      <c r="B52" s="47"/>
      <c r="C52" s="15"/>
      <c r="D52" s="14"/>
      <c r="E52" s="14"/>
      <c r="F52" s="14"/>
    </row>
    <row r="53" spans="1:6" s="65" customFormat="1">
      <c r="A53" s="43"/>
      <c r="B53" s="21"/>
      <c r="C53" s="15"/>
      <c r="D53" s="14"/>
      <c r="E53" s="14"/>
      <c r="F53" s="14"/>
    </row>
    <row r="54" spans="1:6">
      <c r="A54" s="227"/>
      <c r="B54" s="21"/>
      <c r="C54" s="228"/>
      <c r="D54" s="229"/>
      <c r="E54" s="230"/>
      <c r="F54" s="229"/>
    </row>
    <row r="55" spans="1:6">
      <c r="A55" s="227"/>
      <c r="B55" s="21"/>
      <c r="C55" s="228"/>
      <c r="D55" s="229"/>
      <c r="E55" s="230"/>
      <c r="F55" s="229"/>
    </row>
    <row r="56" spans="1:6">
      <c r="A56" s="43"/>
      <c r="B56" s="47"/>
      <c r="C56" s="15"/>
      <c r="D56" s="14"/>
      <c r="E56" s="14"/>
      <c r="F56" s="14"/>
    </row>
    <row r="57" spans="1:6">
      <c r="A57" s="43"/>
      <c r="B57" s="21"/>
      <c r="C57" s="15"/>
      <c r="D57" s="14"/>
      <c r="E57" s="14"/>
      <c r="F57" s="14"/>
    </row>
    <row r="58" spans="1:6">
      <c r="A58" s="43"/>
      <c r="B58" s="47"/>
      <c r="C58" s="15"/>
      <c r="D58" s="14"/>
      <c r="E58" s="14"/>
      <c r="F58" s="14"/>
    </row>
    <row r="59" spans="1:6">
      <c r="A59" s="44"/>
      <c r="B59" s="48"/>
      <c r="C59" s="15"/>
      <c r="D59" s="14"/>
      <c r="E59" s="14"/>
      <c r="F59" s="14"/>
    </row>
    <row r="60" spans="1:6">
      <c r="A60" s="46"/>
      <c r="B60" s="47"/>
      <c r="C60" s="15"/>
      <c r="D60" s="14"/>
      <c r="E60" s="14"/>
      <c r="F60" s="14"/>
    </row>
    <row r="61" spans="1:6" ht="79.5" customHeight="1">
      <c r="A61" s="46"/>
      <c r="B61" s="47"/>
      <c r="C61" s="15"/>
      <c r="D61" s="14"/>
      <c r="E61" s="14"/>
      <c r="F61" s="14"/>
    </row>
    <row r="62" spans="1:6" ht="31.5" customHeight="1">
      <c r="A62" s="46"/>
      <c r="B62" s="47"/>
      <c r="C62" s="15"/>
      <c r="D62" s="14"/>
      <c r="E62" s="14"/>
      <c r="F62" s="14"/>
    </row>
    <row r="63" spans="1:6">
      <c r="A63" s="46"/>
      <c r="B63" s="49"/>
      <c r="C63" s="19"/>
      <c r="D63" s="20"/>
      <c r="E63" s="20"/>
      <c r="F63" s="20"/>
    </row>
    <row r="64" spans="1:6">
      <c r="A64" s="44"/>
      <c r="B64" s="47"/>
      <c r="C64" s="19"/>
      <c r="D64" s="20"/>
      <c r="E64" s="20"/>
      <c r="F64" s="20"/>
    </row>
    <row r="65" spans="1:6">
      <c r="A65" s="46"/>
      <c r="B65" s="47"/>
      <c r="C65" s="19"/>
      <c r="D65" s="20"/>
      <c r="E65" s="20"/>
      <c r="F65" s="20"/>
    </row>
    <row r="66" spans="1:6">
      <c r="A66" s="46"/>
      <c r="B66" s="47"/>
      <c r="C66" s="15"/>
      <c r="D66" s="14"/>
      <c r="E66" s="14"/>
      <c r="F66" s="14"/>
    </row>
    <row r="67" spans="1:6">
      <c r="A67" s="46"/>
      <c r="B67" s="49"/>
      <c r="C67" s="19"/>
      <c r="D67" s="20"/>
      <c r="E67" s="20"/>
      <c r="F67" s="20"/>
    </row>
    <row r="68" spans="1:6">
      <c r="A68" s="44"/>
      <c r="B68" s="47"/>
      <c r="C68" s="19"/>
      <c r="D68" s="20"/>
      <c r="E68" s="20"/>
      <c r="F68" s="20"/>
    </row>
    <row r="69" spans="1:6">
      <c r="A69" s="46"/>
      <c r="B69" s="47"/>
      <c r="C69" s="15"/>
      <c r="D69" s="14"/>
      <c r="E69" s="14"/>
      <c r="F69" s="14"/>
    </row>
    <row r="70" spans="1:6">
      <c r="A70" s="46"/>
      <c r="B70" s="49"/>
      <c r="C70" s="19"/>
      <c r="D70" s="20"/>
      <c r="E70" s="20"/>
      <c r="F70" s="20"/>
    </row>
    <row r="71" spans="1:6">
      <c r="A71" s="44"/>
      <c r="B71" s="47"/>
      <c r="C71" s="19"/>
      <c r="D71" s="20"/>
      <c r="E71" s="20"/>
      <c r="F71" s="20"/>
    </row>
    <row r="72" spans="1:6">
      <c r="A72" s="46"/>
      <c r="B72" s="47"/>
      <c r="C72" s="15"/>
      <c r="D72" s="14"/>
      <c r="E72" s="14"/>
      <c r="F72" s="14"/>
    </row>
    <row r="73" spans="1:6">
      <c r="A73" s="46"/>
      <c r="B73" s="47"/>
      <c r="C73" s="15"/>
      <c r="D73" s="14"/>
      <c r="E73" s="14"/>
      <c r="F73" s="14"/>
    </row>
    <row r="74" spans="1:6">
      <c r="A74" s="44"/>
      <c r="B74" s="47"/>
      <c r="C74" s="19"/>
      <c r="D74" s="20"/>
      <c r="E74" s="20"/>
      <c r="F74" s="20"/>
    </row>
    <row r="75" spans="1:6">
      <c r="A75" s="46"/>
      <c r="B75" s="47"/>
      <c r="C75" s="19"/>
      <c r="D75" s="20"/>
      <c r="E75" s="20"/>
      <c r="F75" s="20"/>
    </row>
    <row r="76" spans="1:6">
      <c r="A76" s="46"/>
      <c r="B76" s="47"/>
      <c r="C76" s="19"/>
      <c r="D76" s="20"/>
      <c r="E76" s="20"/>
      <c r="F76" s="20"/>
    </row>
    <row r="77" spans="1:6">
      <c r="A77" s="46"/>
      <c r="B77" s="47"/>
      <c r="C77" s="15"/>
      <c r="D77" s="14"/>
      <c r="E77" s="14"/>
      <c r="F77" s="14"/>
    </row>
    <row r="78" spans="1:6">
      <c r="A78" s="46"/>
      <c r="B78" s="47"/>
      <c r="C78" s="15"/>
      <c r="D78" s="14"/>
      <c r="E78" s="14"/>
      <c r="F78" s="14"/>
    </row>
    <row r="79" spans="1:6">
      <c r="A79" s="46"/>
      <c r="B79" s="47"/>
      <c r="C79" s="15"/>
      <c r="D79" s="14"/>
      <c r="E79" s="14"/>
      <c r="F79" s="14"/>
    </row>
    <row r="80" spans="1:6">
      <c r="A80" s="46"/>
      <c r="B80" s="47"/>
      <c r="C80" s="15"/>
      <c r="D80" s="14"/>
      <c r="E80" s="14"/>
      <c r="F80" s="14"/>
    </row>
    <row r="81" spans="1:6">
      <c r="A81" s="44"/>
      <c r="B81" s="47"/>
      <c r="C81" s="19"/>
      <c r="D81" s="20"/>
      <c r="E81" s="20"/>
      <c r="F81" s="20"/>
    </row>
    <row r="82" spans="1:6">
      <c r="A82" s="46"/>
      <c r="B82" s="47"/>
      <c r="C82" s="19"/>
      <c r="D82" s="20"/>
      <c r="E82" s="20"/>
      <c r="F82" s="20"/>
    </row>
    <row r="83" spans="1:6">
      <c r="A83" s="46"/>
      <c r="B83" s="47"/>
      <c r="C83" s="19"/>
      <c r="D83" s="20"/>
      <c r="E83" s="20"/>
      <c r="F83" s="20"/>
    </row>
    <row r="84" spans="1:6">
      <c r="A84" s="46"/>
      <c r="B84" s="47"/>
      <c r="C84" s="15"/>
      <c r="D84" s="14"/>
      <c r="E84" s="14"/>
      <c r="F84" s="14"/>
    </row>
    <row r="85" spans="1:6" ht="81" customHeight="1">
      <c r="A85" s="46"/>
      <c r="B85" s="47"/>
      <c r="C85" s="15"/>
      <c r="D85" s="14"/>
      <c r="E85" s="14"/>
      <c r="F85" s="14"/>
    </row>
    <row r="86" spans="1:6">
      <c r="A86" s="46"/>
      <c r="B86" s="47"/>
      <c r="C86" s="15"/>
      <c r="D86" s="14"/>
      <c r="E86" s="14"/>
      <c r="F86" s="14"/>
    </row>
    <row r="87" spans="1:6">
      <c r="A87" s="44"/>
      <c r="B87" s="13"/>
      <c r="E87" s="10"/>
      <c r="F87" s="11"/>
    </row>
    <row r="88" spans="1:6">
      <c r="A88" s="44"/>
      <c r="B88" s="13"/>
      <c r="E88" s="10"/>
      <c r="F88" s="11"/>
    </row>
    <row r="89" spans="1:6" ht="65.25" customHeight="1">
      <c r="A89" s="44"/>
      <c r="B89" s="13"/>
      <c r="E89" s="10"/>
      <c r="F89" s="11"/>
    </row>
    <row r="90" spans="1:6">
      <c r="A90" s="43"/>
      <c r="B90" s="16"/>
      <c r="E90" s="10"/>
      <c r="F90" s="11"/>
    </row>
    <row r="91" spans="1:6" ht="34.5" customHeight="1">
      <c r="A91" s="44"/>
      <c r="B91" s="13"/>
      <c r="E91" s="10"/>
      <c r="F91" s="11"/>
    </row>
    <row r="92" spans="1:6">
      <c r="A92" s="44"/>
      <c r="B92" s="13"/>
      <c r="E92" s="10"/>
      <c r="F92" s="11"/>
    </row>
    <row r="93" spans="1:6" ht="50.25" customHeight="1">
      <c r="A93" s="44"/>
      <c r="B93" s="13"/>
      <c r="E93" s="10"/>
      <c r="F93" s="11"/>
    </row>
    <row r="94" spans="1:6" ht="50.25" customHeight="1">
      <c r="A94" s="44"/>
      <c r="B94" s="13"/>
      <c r="E94" s="10"/>
      <c r="F94" s="11"/>
    </row>
    <row r="95" spans="1:6">
      <c r="A95" s="44"/>
      <c r="B95" s="13"/>
      <c r="E95" s="10"/>
      <c r="F95" s="11"/>
    </row>
    <row r="96" spans="1:6">
      <c r="A96" s="44"/>
      <c r="B96" s="13"/>
      <c r="E96" s="10"/>
      <c r="F96" s="11"/>
    </row>
    <row r="97" spans="1:6">
      <c r="A97" s="44"/>
      <c r="B97" s="13"/>
      <c r="E97" s="10"/>
      <c r="F97" s="11"/>
    </row>
    <row r="98" spans="1:6">
      <c r="A98" s="44"/>
      <c r="B98" s="13"/>
      <c r="E98" s="10"/>
      <c r="F98" s="11"/>
    </row>
    <row r="99" spans="1:6">
      <c r="A99" s="44"/>
      <c r="B99" s="13"/>
      <c r="E99" s="10"/>
      <c r="F99" s="11"/>
    </row>
    <row r="100" spans="1:6">
      <c r="A100" s="44"/>
      <c r="B100" s="13"/>
      <c r="E100" s="10"/>
      <c r="F100" s="11"/>
    </row>
    <row r="101" spans="1:6" ht="65.25" customHeight="1">
      <c r="A101" s="44"/>
      <c r="B101" s="13"/>
      <c r="E101" s="10"/>
      <c r="F101" s="11"/>
    </row>
    <row r="102" spans="1:6">
      <c r="A102" s="44"/>
      <c r="B102" s="13"/>
      <c r="E102" s="10"/>
      <c r="F102" s="11"/>
    </row>
    <row r="103" spans="1:6" ht="34.5" customHeight="1">
      <c r="A103" s="44"/>
      <c r="B103" s="13"/>
      <c r="E103" s="10"/>
      <c r="F103" s="11"/>
    </row>
    <row r="104" spans="1:6">
      <c r="A104" s="44"/>
      <c r="B104" s="13"/>
      <c r="E104" s="10"/>
      <c r="F104" s="11"/>
    </row>
    <row r="105" spans="1:6" ht="50.25" customHeight="1">
      <c r="A105" s="44"/>
      <c r="B105" s="16"/>
      <c r="E105" s="10"/>
      <c r="F105" s="11"/>
    </row>
    <row r="106" spans="1:6" ht="50.25" customHeight="1">
      <c r="A106" s="44"/>
      <c r="B106" s="13"/>
      <c r="E106" s="10"/>
      <c r="F106" s="11"/>
    </row>
    <row r="107" spans="1:6">
      <c r="A107" s="44"/>
      <c r="B107" s="13"/>
      <c r="E107" s="10"/>
      <c r="F107" s="11"/>
    </row>
    <row r="108" spans="1:6">
      <c r="A108" s="44"/>
      <c r="B108" s="13"/>
      <c r="E108" s="10"/>
      <c r="F108" s="11"/>
    </row>
    <row r="109" spans="1:6">
      <c r="A109" s="44"/>
      <c r="B109" s="13"/>
      <c r="E109" s="10"/>
      <c r="F109" s="11"/>
    </row>
    <row r="110" spans="1:6">
      <c r="A110" s="44"/>
      <c r="B110" s="13"/>
      <c r="E110" s="10"/>
      <c r="F110" s="11"/>
    </row>
    <row r="111" spans="1:6">
      <c r="A111" s="44"/>
      <c r="B111" s="13"/>
      <c r="E111" s="10"/>
      <c r="F111" s="11"/>
    </row>
    <row r="112" spans="1:6">
      <c r="A112" s="44"/>
      <c r="B112" s="13"/>
      <c r="E112" s="10"/>
      <c r="F112" s="11"/>
    </row>
    <row r="113" spans="1:6" ht="36.75" customHeight="1">
      <c r="A113" s="44"/>
      <c r="B113" s="13"/>
      <c r="E113" s="10"/>
      <c r="F113" s="11"/>
    </row>
    <row r="114" spans="1:6">
      <c r="A114" s="44"/>
      <c r="B114" s="13"/>
      <c r="E114" s="10"/>
      <c r="F114" s="11"/>
    </row>
    <row r="115" spans="1:6">
      <c r="E115" s="10"/>
      <c r="F115" s="11"/>
    </row>
    <row r="116" spans="1:6">
      <c r="E116" s="10"/>
      <c r="F116" s="11"/>
    </row>
    <row r="117" spans="1:6">
      <c r="E117" s="10"/>
      <c r="F117" s="11"/>
    </row>
    <row r="118" spans="1:6">
      <c r="E118" s="10"/>
      <c r="F118" s="11"/>
    </row>
    <row r="119" spans="1:6">
      <c r="E119" s="10"/>
      <c r="F119" s="11"/>
    </row>
    <row r="120" spans="1:6" ht="48" customHeight="1">
      <c r="E120" s="10"/>
      <c r="F120" s="11"/>
    </row>
    <row r="121" spans="1:6">
      <c r="E121" s="10"/>
      <c r="F121" s="11"/>
    </row>
    <row r="122" spans="1:6" ht="48.75" customHeight="1">
      <c r="E122" s="10"/>
      <c r="F122" s="11"/>
    </row>
    <row r="123" spans="1:6">
      <c r="B123" s="13"/>
      <c r="E123" s="10"/>
      <c r="F123" s="11"/>
    </row>
    <row r="124" spans="1:6" ht="83.25" customHeight="1">
      <c r="B124" s="13"/>
      <c r="E124" s="10"/>
      <c r="F124" s="11"/>
    </row>
    <row r="125" spans="1:6">
      <c r="B125" s="13"/>
      <c r="E125" s="10"/>
      <c r="F125" s="11"/>
    </row>
    <row r="126" spans="1:6">
      <c r="E126" s="10"/>
      <c r="F126" s="11"/>
    </row>
    <row r="127" spans="1:6">
      <c r="E127" s="10"/>
      <c r="F127" s="11"/>
    </row>
    <row r="128" spans="1:6">
      <c r="E128" s="10"/>
      <c r="F128" s="11"/>
    </row>
    <row r="129" spans="2:6">
      <c r="E129" s="10"/>
      <c r="F129" s="11"/>
    </row>
    <row r="130" spans="2:6">
      <c r="E130" s="10"/>
      <c r="F130" s="11"/>
    </row>
    <row r="131" spans="2:6" ht="80.25" customHeight="1">
      <c r="E131" s="10"/>
      <c r="F131" s="11"/>
    </row>
    <row r="132" spans="2:6">
      <c r="E132" s="10"/>
      <c r="F132" s="11"/>
    </row>
    <row r="133" spans="2:6" ht="48.75" customHeight="1">
      <c r="E133" s="10"/>
      <c r="F133" s="11"/>
    </row>
    <row r="134" spans="2:6">
      <c r="E134" s="10"/>
      <c r="F134" s="11"/>
    </row>
    <row r="135" spans="2:6">
      <c r="E135" s="10"/>
      <c r="F135" s="11"/>
    </row>
    <row r="136" spans="2:6">
      <c r="E136" s="10"/>
      <c r="F136" s="11"/>
    </row>
    <row r="137" spans="2:6">
      <c r="B137" s="13"/>
      <c r="E137" s="10"/>
      <c r="F137" s="11"/>
    </row>
    <row r="138" spans="2:6">
      <c r="E138" s="10"/>
      <c r="F138" s="11"/>
    </row>
    <row r="139" spans="2:6">
      <c r="E139" s="10"/>
      <c r="F139" s="11"/>
    </row>
    <row r="140" spans="2:6">
      <c r="E140" s="10"/>
      <c r="F140" s="11"/>
    </row>
    <row r="141" spans="2:6">
      <c r="E141" s="10"/>
      <c r="F141" s="11"/>
    </row>
    <row r="142" spans="2:6">
      <c r="E142" s="10"/>
      <c r="F142" s="11"/>
    </row>
    <row r="143" spans="2:6">
      <c r="B143" s="5"/>
      <c r="E143" s="10"/>
      <c r="F143" s="11"/>
    </row>
    <row r="144" spans="2:6">
      <c r="E144" s="10"/>
      <c r="F144" s="11"/>
    </row>
    <row r="145" spans="2:6">
      <c r="E145" s="10"/>
      <c r="F145" s="11"/>
    </row>
    <row r="146" spans="2:6">
      <c r="E146" s="10"/>
      <c r="F146" s="11"/>
    </row>
    <row r="147" spans="2:6">
      <c r="E147" s="10"/>
      <c r="F147" s="11"/>
    </row>
    <row r="148" spans="2:6">
      <c r="E148" s="10"/>
      <c r="F148" s="11"/>
    </row>
    <row r="149" spans="2:6">
      <c r="E149" s="10"/>
      <c r="F149" s="11"/>
    </row>
    <row r="150" spans="2:6">
      <c r="E150" s="10"/>
      <c r="F150" s="11"/>
    </row>
    <row r="151" spans="2:6">
      <c r="E151" s="10"/>
      <c r="F151" s="11"/>
    </row>
    <row r="152" spans="2:6">
      <c r="E152" s="10"/>
      <c r="F152" s="11"/>
    </row>
    <row r="153" spans="2:6">
      <c r="E153" s="10"/>
      <c r="F153" s="11"/>
    </row>
    <row r="154" spans="2:6">
      <c r="E154" s="10"/>
      <c r="F154" s="11"/>
    </row>
    <row r="155" spans="2:6">
      <c r="B155" s="5"/>
      <c r="E155" s="10"/>
      <c r="F155" s="11"/>
    </row>
    <row r="156" spans="2:6">
      <c r="E156" s="10"/>
      <c r="F156" s="11"/>
    </row>
    <row r="157" spans="2:6">
      <c r="E157" s="10"/>
      <c r="F157" s="11"/>
    </row>
    <row r="158" spans="2:6">
      <c r="E158" s="10"/>
      <c r="F158" s="11"/>
    </row>
    <row r="159" spans="2:6">
      <c r="E159" s="10"/>
      <c r="F159" s="11"/>
    </row>
    <row r="160" spans="2:6">
      <c r="E160" s="10"/>
      <c r="F160" s="11"/>
    </row>
    <row r="161" spans="2:6">
      <c r="E161" s="10"/>
      <c r="F161" s="11"/>
    </row>
    <row r="162" spans="2:6">
      <c r="E162" s="10"/>
      <c r="F162" s="11"/>
    </row>
    <row r="163" spans="2:6">
      <c r="E163" s="10"/>
      <c r="F163" s="11"/>
    </row>
    <row r="164" spans="2:6">
      <c r="E164" s="10"/>
      <c r="F164" s="11"/>
    </row>
    <row r="165" spans="2:6">
      <c r="E165" s="10"/>
      <c r="F165" s="11"/>
    </row>
    <row r="166" spans="2:6">
      <c r="E166" s="10"/>
      <c r="F166" s="11"/>
    </row>
    <row r="167" spans="2:6">
      <c r="E167" s="10"/>
      <c r="F167" s="11"/>
    </row>
    <row r="168" spans="2:6">
      <c r="E168" s="10"/>
      <c r="F168" s="11"/>
    </row>
    <row r="169" spans="2:6">
      <c r="E169" s="10"/>
      <c r="F169" s="11"/>
    </row>
    <row r="170" spans="2:6">
      <c r="E170" s="10"/>
      <c r="F170" s="11"/>
    </row>
    <row r="171" spans="2:6">
      <c r="E171" s="10"/>
      <c r="F171" s="11"/>
    </row>
    <row r="172" spans="2:6">
      <c r="E172" s="10"/>
      <c r="F172" s="11"/>
    </row>
    <row r="173" spans="2:6">
      <c r="E173" s="10"/>
      <c r="F173" s="11"/>
    </row>
    <row r="174" spans="2:6">
      <c r="E174" s="10"/>
      <c r="F174" s="11"/>
    </row>
    <row r="175" spans="2:6">
      <c r="E175" s="10"/>
      <c r="F175" s="11"/>
    </row>
    <row r="176" spans="2:6">
      <c r="B176" s="5"/>
      <c r="E176" s="10"/>
      <c r="F176" s="11"/>
    </row>
    <row r="177" spans="2:6">
      <c r="E177" s="10"/>
      <c r="F177" s="11"/>
    </row>
    <row r="178" spans="2:6">
      <c r="E178" s="10"/>
      <c r="F178" s="11"/>
    </row>
    <row r="179" spans="2:6">
      <c r="E179" s="10"/>
      <c r="F179" s="11"/>
    </row>
    <row r="180" spans="2:6">
      <c r="E180" s="10"/>
      <c r="F180" s="11"/>
    </row>
    <row r="181" spans="2:6">
      <c r="E181" s="10"/>
      <c r="F181" s="11"/>
    </row>
    <row r="182" spans="2:6">
      <c r="E182" s="10"/>
      <c r="F182" s="11"/>
    </row>
    <row r="183" spans="2:6">
      <c r="E183" s="10"/>
      <c r="F183" s="11"/>
    </row>
    <row r="184" spans="2:6">
      <c r="E184" s="10"/>
      <c r="F184" s="11"/>
    </row>
    <row r="185" spans="2:6">
      <c r="E185" s="10"/>
      <c r="F185" s="11"/>
    </row>
    <row r="186" spans="2:6">
      <c r="E186" s="10"/>
      <c r="F186" s="11"/>
    </row>
    <row r="187" spans="2:6">
      <c r="E187" s="10"/>
      <c r="F187" s="11"/>
    </row>
    <row r="188" spans="2:6">
      <c r="B188" s="13"/>
      <c r="E188" s="10"/>
      <c r="F188" s="11"/>
    </row>
    <row r="189" spans="2:6">
      <c r="B189" s="13"/>
      <c r="E189" s="10"/>
      <c r="F189" s="11"/>
    </row>
    <row r="190" spans="2:6">
      <c r="B190" s="13"/>
      <c r="E190" s="10"/>
      <c r="F190" s="11"/>
    </row>
    <row r="191" spans="2:6">
      <c r="B191" s="13"/>
      <c r="E191" s="10"/>
      <c r="F191" s="11"/>
    </row>
    <row r="192" spans="2:6">
      <c r="B192" s="13"/>
      <c r="E192" s="10"/>
      <c r="F192" s="11"/>
    </row>
    <row r="193" spans="1:6">
      <c r="B193" s="13"/>
      <c r="E193" s="10"/>
      <c r="F193" s="11"/>
    </row>
    <row r="194" spans="1:6">
      <c r="B194" s="13"/>
      <c r="E194" s="10"/>
      <c r="F194" s="11"/>
    </row>
    <row r="195" spans="1:6">
      <c r="B195" s="13"/>
      <c r="E195" s="10"/>
      <c r="F195" s="11"/>
    </row>
    <row r="196" spans="1:6">
      <c r="A196" s="9" t="s">
        <v>36</v>
      </c>
      <c r="B196" s="6" t="s">
        <v>50</v>
      </c>
      <c r="E196" s="10"/>
      <c r="F196" s="11" t="e">
        <f>SUM(#REF!)</f>
        <v>#REF!</v>
      </c>
    </row>
    <row r="197" spans="1:6">
      <c r="E197" s="10"/>
      <c r="F197" s="11"/>
    </row>
    <row r="198" spans="1:6">
      <c r="A198" s="12"/>
      <c r="B198" s="12"/>
      <c r="E198" s="10"/>
      <c r="F198" s="11"/>
    </row>
  </sheetData>
  <pageMargins left="0.70866141732283472" right="0.70866141732283472" top="0.88124999999999998" bottom="0.74803149606299213" header="0.31496062992125984" footer="0.31496062992125984"/>
  <pageSetup paperSize="9" scale="90" orientation="portrait" r:id="rId1"/>
  <headerFooter>
    <oddHeader xml:space="preserve">&amp;L&amp;7ZAGREBAČKI HOLDING d.o.o.
Ulica grada Vukovara 41,Zagreb
&amp;C&amp;7CJELOVITA OBNOVA ZGRADE JAVNE NAMJENE - 
''ŠKOLE'' HOSTELA GRAD MLADIH, GRANEŠINA
Aleja hrvatske mladeži 29, Zagreb
k.č. 7098, k.o. Granešina Nova&amp;R&amp;7ZOP: 12/24   </oddHeader>
  </headerFooter>
</worksheet>
</file>

<file path=xl/worksheets/sheet20.xml><?xml version="1.0" encoding="utf-8"?>
<worksheet xmlns="http://schemas.openxmlformats.org/spreadsheetml/2006/main" xmlns:r="http://schemas.openxmlformats.org/officeDocument/2006/relationships">
  <sheetPr>
    <tabColor rgb="FF0070C0"/>
  </sheetPr>
  <dimension ref="A1:J112"/>
  <sheetViews>
    <sheetView showZeros="0" view="pageBreakPreview" zoomScale="85" zoomScaleNormal="100" zoomScaleSheetLayoutView="85" workbookViewId="0">
      <selection activeCell="E2" sqref="E2:J106"/>
    </sheetView>
  </sheetViews>
  <sheetFormatPr defaultColWidth="9.140625" defaultRowHeight="15"/>
  <cols>
    <col min="1" max="1" width="8.7109375" style="231" customWidth="1"/>
    <col min="2" max="2" width="45.140625" style="152" customWidth="1"/>
    <col min="3" max="3" width="8.5703125" style="111" customWidth="1"/>
    <col min="4" max="4" width="10.7109375" style="108" customWidth="1"/>
    <col min="5" max="5" width="13.7109375" style="212" customWidth="1"/>
    <col min="6" max="6" width="16.7109375" style="212" customWidth="1"/>
    <col min="7" max="16384" width="9.140625" style="68"/>
  </cols>
  <sheetData>
    <row r="1" spans="1:10">
      <c r="A1" s="285" t="s">
        <v>260</v>
      </c>
      <c r="B1" s="107" t="s">
        <v>261</v>
      </c>
      <c r="C1" s="64" t="s">
        <v>262</v>
      </c>
      <c r="D1" s="109" t="s">
        <v>263</v>
      </c>
      <c r="E1" s="205" t="s">
        <v>264</v>
      </c>
      <c r="F1" s="206" t="s">
        <v>265</v>
      </c>
    </row>
    <row r="3" spans="1:10">
      <c r="A3" s="18" t="s">
        <v>276</v>
      </c>
      <c r="B3" s="25" t="s">
        <v>572</v>
      </c>
      <c r="C3" s="42"/>
      <c r="D3" s="41"/>
      <c r="E3" s="207"/>
      <c r="F3" s="208"/>
      <c r="G3" s="2"/>
      <c r="H3" s="2"/>
      <c r="I3" s="2"/>
    </row>
    <row r="4" spans="1:10">
      <c r="A4" s="43"/>
      <c r="B4" s="25"/>
      <c r="C4" s="42"/>
      <c r="D4" s="41"/>
      <c r="E4" s="207"/>
      <c r="F4" s="208"/>
      <c r="G4" s="2"/>
      <c r="H4" s="2"/>
      <c r="I4" s="2"/>
    </row>
    <row r="5" spans="1:10">
      <c r="A5" s="18"/>
      <c r="B5" s="1"/>
      <c r="C5" s="42"/>
      <c r="D5" s="41"/>
      <c r="E5" s="207"/>
      <c r="F5" s="208"/>
      <c r="G5" s="2"/>
      <c r="H5" s="2"/>
      <c r="I5" s="2"/>
    </row>
    <row r="6" spans="1:10" s="270" customFormat="1">
      <c r="A6" s="286"/>
      <c r="B6" s="265" t="s">
        <v>771</v>
      </c>
      <c r="C6" s="266"/>
      <c r="D6" s="267"/>
      <c r="E6" s="268"/>
      <c r="F6" s="269"/>
    </row>
    <row r="7" spans="1:10" s="274" customFormat="1" ht="57">
      <c r="A7" s="287"/>
      <c r="B7" s="265" t="s">
        <v>1398</v>
      </c>
      <c r="C7" s="271"/>
      <c r="D7" s="272"/>
      <c r="E7" s="273"/>
      <c r="F7" s="273"/>
      <c r="J7" s="275"/>
    </row>
    <row r="8" spans="1:10" s="274" customFormat="1" ht="57">
      <c r="A8" s="287"/>
      <c r="B8" s="265" t="s">
        <v>1399</v>
      </c>
      <c r="C8" s="271"/>
      <c r="D8" s="272"/>
      <c r="E8" s="273"/>
      <c r="F8" s="273"/>
      <c r="J8" s="275"/>
    </row>
    <row r="9" spans="1:10" s="274" customFormat="1" ht="42.75">
      <c r="A9" s="287"/>
      <c r="B9" s="265" t="s">
        <v>1400</v>
      </c>
      <c r="C9" s="271"/>
      <c r="D9" s="272"/>
      <c r="E9" s="273"/>
      <c r="F9" s="273"/>
      <c r="J9" s="275"/>
    </row>
    <row r="10" spans="1:10" s="274" customFormat="1" ht="71.25">
      <c r="A10" s="287"/>
      <c r="B10" s="265" t="s">
        <v>1401</v>
      </c>
      <c r="C10" s="271"/>
      <c r="D10" s="272"/>
      <c r="E10" s="273"/>
      <c r="F10" s="273"/>
      <c r="J10" s="275"/>
    </row>
    <row r="11" spans="1:10" s="274" customFormat="1" ht="28.5">
      <c r="A11" s="287"/>
      <c r="B11" s="265" t="s">
        <v>1402</v>
      </c>
      <c r="C11" s="271"/>
      <c r="D11" s="272"/>
      <c r="E11" s="273"/>
      <c r="F11" s="273"/>
      <c r="J11" s="275"/>
    </row>
    <row r="12" spans="1:10" s="274" customFormat="1" ht="28.5">
      <c r="A12" s="287"/>
      <c r="B12" s="265" t="s">
        <v>573</v>
      </c>
      <c r="C12" s="271"/>
      <c r="D12" s="272"/>
      <c r="E12" s="273"/>
      <c r="F12" s="273"/>
      <c r="J12" s="275"/>
    </row>
    <row r="13" spans="1:10" s="274" customFormat="1" ht="57">
      <c r="A13" s="287"/>
      <c r="B13" s="265" t="s">
        <v>1403</v>
      </c>
      <c r="C13" s="271"/>
      <c r="D13" s="272"/>
      <c r="E13" s="273"/>
      <c r="F13" s="273"/>
      <c r="J13" s="275"/>
    </row>
    <row r="14" spans="1:10" s="274" customFormat="1">
      <c r="A14" s="287"/>
      <c r="B14" s="265"/>
      <c r="C14" s="271"/>
      <c r="D14" s="272"/>
      <c r="E14" s="273"/>
      <c r="F14" s="273"/>
      <c r="J14" s="275"/>
    </row>
    <row r="15" spans="1:10" s="274" customFormat="1" ht="42.75">
      <c r="A15" s="287"/>
      <c r="B15" s="265" t="s">
        <v>574</v>
      </c>
      <c r="C15" s="271"/>
      <c r="D15" s="272"/>
      <c r="E15" s="273"/>
      <c r="F15" s="273"/>
      <c r="J15" s="275"/>
    </row>
    <row r="16" spans="1:10" s="274" customFormat="1" ht="85.5">
      <c r="A16" s="287"/>
      <c r="B16" s="265" t="s">
        <v>1404</v>
      </c>
      <c r="C16" s="271"/>
      <c r="D16" s="272"/>
      <c r="E16" s="273"/>
      <c r="F16" s="273"/>
      <c r="J16" s="275"/>
    </row>
    <row r="17" spans="1:10" s="274" customFormat="1" ht="71.25">
      <c r="A17" s="287"/>
      <c r="B17" s="265" t="s">
        <v>575</v>
      </c>
      <c r="C17" s="271"/>
      <c r="D17" s="272"/>
      <c r="E17" s="273"/>
      <c r="F17" s="273"/>
      <c r="J17" s="275"/>
    </row>
    <row r="18" spans="1:10" s="274" customFormat="1" ht="71.25">
      <c r="A18" s="287"/>
      <c r="B18" s="265" t="s">
        <v>576</v>
      </c>
      <c r="C18" s="271"/>
      <c r="D18" s="272"/>
      <c r="E18" s="273"/>
      <c r="F18" s="273"/>
      <c r="J18" s="275"/>
    </row>
    <row r="19" spans="1:10" s="274" customFormat="1" ht="85.5">
      <c r="A19" s="287"/>
      <c r="B19" s="265" t="s">
        <v>577</v>
      </c>
      <c r="C19" s="271"/>
      <c r="D19" s="272"/>
      <c r="E19" s="273"/>
      <c r="F19" s="273"/>
      <c r="J19" s="275"/>
    </row>
    <row r="20" spans="1:10" s="274" customFormat="1">
      <c r="A20" s="287"/>
      <c r="B20" s="265"/>
      <c r="C20" s="271"/>
      <c r="D20" s="272"/>
      <c r="E20" s="273"/>
      <c r="F20" s="273"/>
      <c r="J20" s="275"/>
    </row>
    <row r="21" spans="1:10" s="278" customFormat="1">
      <c r="A21" s="287"/>
      <c r="B21" s="265" t="s">
        <v>611</v>
      </c>
      <c r="C21" s="271"/>
      <c r="D21" s="276"/>
      <c r="E21" s="277"/>
      <c r="F21" s="273"/>
    </row>
    <row r="22" spans="1:10" s="278" customFormat="1" ht="28.5">
      <c r="A22" s="287"/>
      <c r="B22" s="265" t="s">
        <v>1405</v>
      </c>
      <c r="C22" s="271"/>
      <c r="D22" s="276"/>
      <c r="E22" s="277"/>
      <c r="F22" s="273"/>
    </row>
    <row r="23" spans="1:10" s="278" customFormat="1" ht="28.5">
      <c r="A23" s="287"/>
      <c r="B23" s="265" t="s">
        <v>612</v>
      </c>
      <c r="C23" s="271"/>
      <c r="D23" s="276"/>
      <c r="E23" s="277"/>
      <c r="F23" s="273"/>
    </row>
    <row r="24" spans="1:10" s="278" customFormat="1" ht="28.5">
      <c r="A24" s="287"/>
      <c r="B24" s="265" t="s">
        <v>1406</v>
      </c>
      <c r="C24" s="271"/>
      <c r="D24" s="276"/>
      <c r="E24" s="277"/>
      <c r="F24" s="273"/>
    </row>
    <row r="25" spans="1:10" s="278" customFormat="1" ht="28.5">
      <c r="A25" s="287"/>
      <c r="B25" s="265" t="s">
        <v>614</v>
      </c>
      <c r="C25" s="271"/>
      <c r="D25" s="276"/>
      <c r="E25" s="277"/>
      <c r="F25" s="273"/>
    </row>
    <row r="26" spans="1:10" s="278" customFormat="1" ht="57">
      <c r="A26" s="287"/>
      <c r="B26" s="265" t="s">
        <v>1407</v>
      </c>
      <c r="C26" s="271"/>
      <c r="D26" s="276"/>
      <c r="E26" s="277"/>
      <c r="F26" s="273"/>
    </row>
    <row r="27" spans="1:10" s="278" customFormat="1" ht="42.75">
      <c r="A27" s="287"/>
      <c r="B27" s="265" t="s">
        <v>617</v>
      </c>
      <c r="C27" s="271"/>
      <c r="D27" s="276"/>
      <c r="E27" s="277"/>
      <c r="F27" s="273"/>
    </row>
    <row r="28" spans="1:10" s="274" customFormat="1">
      <c r="A28" s="287"/>
      <c r="B28" s="265"/>
      <c r="C28" s="271"/>
      <c r="D28" s="272"/>
      <c r="E28" s="273"/>
      <c r="F28" s="273"/>
      <c r="J28" s="275"/>
    </row>
    <row r="29" spans="1:10" s="274" customFormat="1">
      <c r="A29" s="287"/>
      <c r="C29" s="271"/>
      <c r="D29" s="272"/>
      <c r="E29" s="273"/>
      <c r="F29" s="273"/>
      <c r="J29" s="275"/>
    </row>
    <row r="30" spans="1:10" s="270" customFormat="1" ht="28.5">
      <c r="A30" s="286"/>
      <c r="B30" s="265" t="s">
        <v>1408</v>
      </c>
      <c r="C30" s="271"/>
      <c r="D30" s="272"/>
      <c r="E30" s="273"/>
      <c r="F30" s="273"/>
      <c r="G30" s="274"/>
      <c r="H30" s="274"/>
      <c r="I30" s="274"/>
    </row>
    <row r="31" spans="1:10" s="270" customFormat="1" ht="28.5">
      <c r="A31" s="286"/>
      <c r="B31" s="265" t="s">
        <v>1409</v>
      </c>
      <c r="C31" s="271"/>
      <c r="D31" s="272"/>
      <c r="E31" s="273"/>
      <c r="F31" s="273"/>
      <c r="G31" s="274"/>
      <c r="H31" s="274"/>
      <c r="I31" s="274"/>
    </row>
    <row r="32" spans="1:10" s="270" customFormat="1" ht="79.5" customHeight="1">
      <c r="A32" s="286"/>
      <c r="B32" s="265" t="s">
        <v>1410</v>
      </c>
      <c r="C32" s="271"/>
      <c r="D32" s="272"/>
      <c r="E32" s="273"/>
      <c r="F32" s="273"/>
      <c r="G32" s="274"/>
      <c r="H32" s="274"/>
      <c r="I32" s="274"/>
    </row>
    <row r="33" spans="1:10" s="270" customFormat="1" ht="28.5">
      <c r="A33" s="286"/>
      <c r="B33" s="265" t="s">
        <v>1411</v>
      </c>
      <c r="C33" s="271"/>
      <c r="D33" s="272"/>
      <c r="E33" s="273"/>
      <c r="F33" s="273"/>
      <c r="G33" s="274"/>
      <c r="H33" s="274"/>
      <c r="I33" s="274"/>
    </row>
    <row r="34" spans="1:10" s="270" customFormat="1" ht="28.5">
      <c r="A34" s="286"/>
      <c r="B34" s="265" t="s">
        <v>1412</v>
      </c>
      <c r="C34" s="271"/>
      <c r="D34" s="272"/>
      <c r="E34" s="273"/>
      <c r="F34" s="273"/>
      <c r="G34" s="274"/>
      <c r="H34" s="274"/>
      <c r="I34" s="274"/>
    </row>
    <row r="35" spans="1:10" s="270" customFormat="1" ht="57">
      <c r="A35" s="286"/>
      <c r="B35" s="265" t="s">
        <v>1413</v>
      </c>
      <c r="C35" s="271"/>
      <c r="D35" s="272"/>
      <c r="E35" s="273"/>
      <c r="F35" s="273"/>
      <c r="G35" s="274"/>
      <c r="H35" s="274"/>
      <c r="I35" s="274"/>
    </row>
    <row r="36" spans="1:10" s="274" customFormat="1">
      <c r="A36" s="287"/>
      <c r="B36" s="265"/>
      <c r="C36" s="271"/>
      <c r="D36" s="272"/>
      <c r="E36" s="273"/>
      <c r="F36" s="273"/>
      <c r="J36" s="275"/>
    </row>
    <row r="37" spans="1:10" s="274" customFormat="1" ht="28.5">
      <c r="A37" s="287"/>
      <c r="B37" s="265" t="s">
        <v>1414</v>
      </c>
      <c r="C37" s="271"/>
      <c r="D37" s="272"/>
      <c r="E37" s="273"/>
      <c r="F37" s="273"/>
      <c r="J37" s="275"/>
    </row>
    <row r="38" spans="1:10" s="270" customFormat="1" ht="42.75">
      <c r="A38" s="286"/>
      <c r="B38" s="265" t="s">
        <v>1415</v>
      </c>
      <c r="C38" s="271"/>
      <c r="D38" s="272"/>
      <c r="E38" s="273"/>
      <c r="F38" s="273"/>
      <c r="G38" s="274"/>
      <c r="H38" s="274"/>
      <c r="I38" s="274"/>
    </row>
    <row r="39" spans="1:10" s="270" customFormat="1" ht="85.5">
      <c r="A39" s="286"/>
      <c r="B39" s="265" t="s">
        <v>1416</v>
      </c>
      <c r="C39" s="271"/>
      <c r="D39" s="272"/>
      <c r="E39" s="273"/>
      <c r="F39" s="273"/>
      <c r="G39" s="274"/>
      <c r="H39" s="274"/>
      <c r="I39" s="274"/>
    </row>
    <row r="40" spans="1:10" s="270" customFormat="1" ht="71.25">
      <c r="A40" s="286"/>
      <c r="B40" s="265" t="s">
        <v>1417</v>
      </c>
      <c r="C40" s="271"/>
      <c r="D40" s="272"/>
      <c r="E40" s="273"/>
      <c r="F40" s="273"/>
      <c r="G40" s="274"/>
      <c r="H40" s="274"/>
      <c r="I40" s="274"/>
    </row>
    <row r="41" spans="1:10" s="270" customFormat="1" ht="57">
      <c r="A41" s="286"/>
      <c r="B41" s="265" t="s">
        <v>1418</v>
      </c>
      <c r="C41" s="271"/>
      <c r="D41" s="272"/>
      <c r="E41" s="273"/>
      <c r="F41" s="273"/>
      <c r="G41" s="274"/>
      <c r="H41" s="274"/>
      <c r="I41" s="274"/>
    </row>
    <row r="42" spans="1:10" s="270" customFormat="1">
      <c r="A42" s="286"/>
      <c r="B42" s="265" t="s">
        <v>1419</v>
      </c>
      <c r="C42" s="271"/>
      <c r="D42" s="272"/>
      <c r="E42" s="273"/>
      <c r="F42" s="273"/>
      <c r="G42" s="274"/>
      <c r="H42" s="274"/>
      <c r="I42" s="274"/>
    </row>
    <row r="43" spans="1:10" s="270" customFormat="1">
      <c r="A43" s="286"/>
      <c r="B43" s="265" t="s">
        <v>1420</v>
      </c>
      <c r="C43" s="271"/>
      <c r="D43" s="272"/>
      <c r="E43" s="273"/>
      <c r="F43" s="273"/>
      <c r="G43" s="274"/>
      <c r="H43" s="274"/>
      <c r="I43" s="274"/>
    </row>
    <row r="44" spans="1:10" s="270" customFormat="1">
      <c r="A44" s="286"/>
      <c r="B44" s="265" t="s">
        <v>1421</v>
      </c>
      <c r="C44" s="271"/>
      <c r="D44" s="272"/>
      <c r="E44" s="273"/>
      <c r="F44" s="273"/>
      <c r="G44" s="274"/>
      <c r="H44" s="274"/>
      <c r="I44" s="274"/>
    </row>
    <row r="45" spans="1:10" s="270" customFormat="1">
      <c r="A45" s="286"/>
      <c r="B45" s="265" t="s">
        <v>1422</v>
      </c>
      <c r="C45" s="271"/>
      <c r="D45" s="272"/>
      <c r="E45" s="273"/>
      <c r="F45" s="273"/>
      <c r="G45" s="274"/>
      <c r="H45" s="274"/>
      <c r="I45" s="274"/>
    </row>
    <row r="46" spans="1:10" s="270" customFormat="1" ht="57">
      <c r="A46" s="286"/>
      <c r="B46" s="265" t="s">
        <v>1423</v>
      </c>
      <c r="C46" s="271"/>
      <c r="D46" s="272"/>
      <c r="E46" s="273"/>
      <c r="F46" s="273"/>
      <c r="G46" s="274"/>
      <c r="H46" s="274"/>
      <c r="I46" s="274"/>
    </row>
    <row r="47" spans="1:10" s="1" customFormat="1">
      <c r="A47" s="288"/>
      <c r="C47" s="35"/>
      <c r="D47" s="106"/>
      <c r="E47" s="209"/>
      <c r="F47" s="209"/>
      <c r="G47" s="4"/>
      <c r="H47" s="4"/>
      <c r="I47" s="4"/>
      <c r="J47" s="88"/>
    </row>
    <row r="48" spans="1:10" s="270" customFormat="1">
      <c r="A48" s="286"/>
      <c r="B48" s="265" t="s">
        <v>1729</v>
      </c>
      <c r="C48" s="271"/>
      <c r="D48" s="272"/>
      <c r="E48" s="273"/>
      <c r="F48" s="273"/>
      <c r="G48" s="274"/>
      <c r="H48" s="274"/>
      <c r="I48" s="274"/>
    </row>
    <row r="49" spans="1:10" s="270" customFormat="1" ht="28.5">
      <c r="A49" s="286"/>
      <c r="B49" s="265" t="s">
        <v>1424</v>
      </c>
      <c r="C49" s="271"/>
      <c r="D49" s="272"/>
      <c r="E49" s="273"/>
      <c r="F49" s="273"/>
      <c r="G49" s="274"/>
      <c r="H49" s="274"/>
      <c r="I49" s="274"/>
    </row>
    <row r="50" spans="1:10" s="270" customFormat="1" ht="28.5">
      <c r="A50" s="286"/>
      <c r="B50" s="265" t="s">
        <v>1425</v>
      </c>
      <c r="C50" s="271"/>
      <c r="D50" s="272"/>
      <c r="E50" s="273"/>
      <c r="F50" s="273"/>
      <c r="G50" s="274"/>
      <c r="H50" s="274"/>
      <c r="I50" s="274"/>
    </row>
    <row r="51" spans="1:10" s="270" customFormat="1" ht="28.5">
      <c r="A51" s="286"/>
      <c r="B51" s="265" t="s">
        <v>1426</v>
      </c>
      <c r="C51" s="271"/>
      <c r="D51" s="272"/>
      <c r="E51" s="273"/>
      <c r="F51" s="273"/>
      <c r="G51" s="274"/>
      <c r="H51" s="274"/>
      <c r="I51" s="274"/>
    </row>
    <row r="52" spans="1:10" s="270" customFormat="1" ht="57">
      <c r="A52" s="286"/>
      <c r="B52" s="265" t="s">
        <v>1427</v>
      </c>
      <c r="C52" s="271"/>
      <c r="D52" s="272"/>
      <c r="E52" s="273"/>
      <c r="F52" s="273"/>
      <c r="G52" s="274"/>
      <c r="H52" s="274"/>
      <c r="I52" s="274"/>
    </row>
    <row r="53" spans="1:10" s="270" customFormat="1" ht="42.75">
      <c r="A53" s="286"/>
      <c r="B53" s="265" t="s">
        <v>1428</v>
      </c>
      <c r="C53" s="271"/>
      <c r="D53" s="272"/>
      <c r="E53" s="273"/>
      <c r="F53" s="273"/>
      <c r="G53" s="274"/>
      <c r="H53" s="274"/>
      <c r="I53" s="274"/>
    </row>
    <row r="54" spans="1:10" s="270" customFormat="1">
      <c r="A54" s="286"/>
      <c r="B54" s="265" t="s">
        <v>1429</v>
      </c>
      <c r="C54" s="271"/>
      <c r="D54" s="272"/>
      <c r="E54" s="273"/>
      <c r="F54" s="273"/>
      <c r="G54" s="274"/>
      <c r="H54" s="274"/>
      <c r="I54" s="274"/>
    </row>
    <row r="55" spans="1:10" s="270" customFormat="1">
      <c r="A55" s="286"/>
      <c r="B55" s="274"/>
      <c r="C55" s="271"/>
      <c r="D55" s="272"/>
      <c r="E55" s="273"/>
      <c r="F55" s="273"/>
      <c r="G55" s="274"/>
      <c r="H55" s="274"/>
      <c r="I55" s="274"/>
    </row>
    <row r="56" spans="1:10" s="1" customFormat="1">
      <c r="A56" s="288"/>
      <c r="C56" s="35"/>
      <c r="D56" s="106"/>
      <c r="E56" s="209"/>
      <c r="F56" s="209"/>
      <c r="G56" s="4"/>
      <c r="H56" s="4"/>
      <c r="I56" s="4"/>
      <c r="J56" s="88"/>
    </row>
    <row r="57" spans="1:10" s="270" customFormat="1" ht="15.75" customHeight="1">
      <c r="A57" s="286">
        <f>COUNT($A$39:A56)+1</f>
        <v>1</v>
      </c>
      <c r="B57" s="279" t="s">
        <v>1439</v>
      </c>
      <c r="C57" s="280"/>
      <c r="D57" s="281"/>
      <c r="E57" s="282"/>
      <c r="F57" s="283"/>
    </row>
    <row r="58" spans="1:10" s="270" customFormat="1" ht="57">
      <c r="A58" s="286"/>
      <c r="B58" s="265" t="s">
        <v>1435</v>
      </c>
      <c r="C58" s="280"/>
      <c r="D58" s="281"/>
      <c r="E58" s="282"/>
      <c r="F58" s="283"/>
    </row>
    <row r="59" spans="1:10" s="270" customFormat="1" ht="42.75">
      <c r="A59" s="286"/>
      <c r="B59" s="265" t="s">
        <v>1430</v>
      </c>
      <c r="C59" s="280"/>
      <c r="D59" s="281"/>
      <c r="E59" s="282"/>
      <c r="F59" s="283"/>
    </row>
    <row r="60" spans="1:10" s="270" customFormat="1" ht="28.5">
      <c r="A60" s="286"/>
      <c r="B60" s="265" t="s">
        <v>1431</v>
      </c>
      <c r="C60" s="266"/>
      <c r="D60" s="267"/>
      <c r="E60" s="282"/>
      <c r="F60" s="283"/>
    </row>
    <row r="61" spans="1:10" s="270" customFormat="1">
      <c r="A61" s="286"/>
      <c r="B61" s="284" t="s">
        <v>1432</v>
      </c>
      <c r="C61" s="266" t="s">
        <v>11</v>
      </c>
      <c r="D61" s="267">
        <f>(0.81*3.4+5.33*2.14)*1.05</f>
        <v>14.868209999999999</v>
      </c>
      <c r="E61" s="268"/>
      <c r="F61" s="269"/>
    </row>
    <row r="62" spans="1:10" s="270" customFormat="1">
      <c r="A62" s="286"/>
      <c r="B62" s="265" t="s">
        <v>1433</v>
      </c>
      <c r="C62" s="266" t="s">
        <v>130</v>
      </c>
      <c r="D62" s="267">
        <v>1</v>
      </c>
      <c r="E62" s="268"/>
      <c r="F62" s="269"/>
      <c r="G62" s="274"/>
      <c r="H62" s="274"/>
      <c r="I62" s="274"/>
    </row>
    <row r="63" spans="1:10" s="1" customFormat="1">
      <c r="A63" s="288"/>
      <c r="C63" s="35"/>
      <c r="D63" s="106"/>
      <c r="E63" s="209"/>
      <c r="F63" s="209"/>
      <c r="G63" s="4"/>
      <c r="H63" s="4"/>
      <c r="I63" s="4"/>
      <c r="J63" s="88"/>
    </row>
    <row r="64" spans="1:10" s="270" customFormat="1" ht="15.75" customHeight="1">
      <c r="A64" s="286">
        <f>COUNT($A$39:A62)+1</f>
        <v>2</v>
      </c>
      <c r="B64" s="279" t="s">
        <v>1440</v>
      </c>
      <c r="C64" s="280"/>
      <c r="D64" s="281"/>
      <c r="E64" s="282"/>
      <c r="F64" s="269"/>
    </row>
    <row r="65" spans="1:9" s="270" customFormat="1" ht="42.75">
      <c r="A65" s="286"/>
      <c r="B65" s="265" t="s">
        <v>1434</v>
      </c>
      <c r="C65" s="280"/>
      <c r="D65" s="281"/>
      <c r="E65" s="282"/>
      <c r="F65" s="269"/>
    </row>
    <row r="66" spans="1:9" s="270" customFormat="1" ht="57">
      <c r="A66" s="286"/>
      <c r="B66" s="265" t="s">
        <v>1436</v>
      </c>
      <c r="C66" s="280"/>
      <c r="D66" s="281"/>
      <c r="E66" s="282"/>
      <c r="F66" s="269"/>
    </row>
    <row r="67" spans="1:9" s="270" customFormat="1" ht="42.75">
      <c r="A67" s="286"/>
      <c r="B67" s="265" t="s">
        <v>1437</v>
      </c>
      <c r="C67" s="280"/>
      <c r="D67" s="281"/>
      <c r="E67" s="282"/>
      <c r="F67" s="269"/>
    </row>
    <row r="68" spans="1:9" s="270" customFormat="1">
      <c r="A68" s="286"/>
      <c r="B68" s="265" t="s">
        <v>1438</v>
      </c>
      <c r="C68" s="266" t="s">
        <v>130</v>
      </c>
      <c r="D68" s="267">
        <f>(3.4+5.33)*1.05</f>
        <v>9.166500000000001</v>
      </c>
      <c r="E68" s="268"/>
      <c r="F68" s="269"/>
    </row>
    <row r="69" spans="1:9" s="270" customFormat="1">
      <c r="A69" s="286"/>
      <c r="B69" s="284"/>
    </row>
    <row r="70" spans="1:9" s="270" customFormat="1" ht="15.75" customHeight="1">
      <c r="A70" s="286">
        <f>COUNT($A$39:A68)+1</f>
        <v>3</v>
      </c>
      <c r="B70" s="279" t="s">
        <v>1441</v>
      </c>
      <c r="C70" s="280"/>
      <c r="D70" s="281"/>
      <c r="E70" s="282"/>
      <c r="F70" s="283"/>
    </row>
    <row r="71" spans="1:9" ht="99.75">
      <c r="A71" s="289"/>
      <c r="B71" s="265" t="s">
        <v>1391</v>
      </c>
      <c r="C71" s="262"/>
      <c r="D71" s="263"/>
      <c r="E71" s="264"/>
      <c r="F71" s="264"/>
      <c r="G71" s="4"/>
      <c r="H71" s="4"/>
      <c r="I71" s="4"/>
    </row>
    <row r="72" spans="1:9">
      <c r="A72" s="289"/>
      <c r="B72" s="265" t="s">
        <v>1392</v>
      </c>
      <c r="C72" s="266" t="s">
        <v>9</v>
      </c>
      <c r="D72" s="267">
        <v>5</v>
      </c>
      <c r="E72" s="268"/>
      <c r="F72" s="269"/>
      <c r="G72" s="4"/>
      <c r="H72" s="4"/>
      <c r="I72" s="4"/>
    </row>
    <row r="73" spans="1:9">
      <c r="A73" s="289"/>
      <c r="B73" s="265" t="s">
        <v>1393</v>
      </c>
      <c r="C73" s="266" t="s">
        <v>9</v>
      </c>
      <c r="D73" s="267">
        <v>2</v>
      </c>
      <c r="E73" s="268"/>
      <c r="F73" s="269"/>
      <c r="G73" s="4"/>
      <c r="H73" s="4"/>
      <c r="I73" s="4"/>
    </row>
    <row r="74" spans="1:9" s="270" customFormat="1">
      <c r="A74" s="286"/>
      <c r="B74" s="265"/>
      <c r="C74" s="266"/>
      <c r="D74" s="267"/>
      <c r="E74" s="268"/>
      <c r="F74" s="269"/>
    </row>
    <row r="75" spans="1:9" s="270" customFormat="1" ht="15.75" customHeight="1">
      <c r="A75" s="286">
        <f>COUNT($A$39:A73)+1</f>
        <v>4</v>
      </c>
      <c r="B75" s="279" t="s">
        <v>1442</v>
      </c>
      <c r="C75" s="280"/>
      <c r="D75" s="281"/>
      <c r="E75" s="282"/>
      <c r="F75" s="283"/>
    </row>
    <row r="76" spans="1:9">
      <c r="A76" s="43"/>
      <c r="B76" s="265" t="s">
        <v>1394</v>
      </c>
      <c r="C76" s="110"/>
      <c r="D76" s="261"/>
      <c r="E76" s="218"/>
      <c r="F76" s="258"/>
      <c r="G76" s="4"/>
      <c r="H76" s="4"/>
      <c r="I76" s="4"/>
    </row>
    <row r="77" spans="1:9" ht="128.25">
      <c r="A77" s="43"/>
      <c r="B77" s="265" t="s">
        <v>1395</v>
      </c>
      <c r="C77" s="266"/>
      <c r="D77" s="267"/>
      <c r="E77" s="184"/>
      <c r="F77" s="209"/>
      <c r="G77" s="4"/>
      <c r="H77" s="4"/>
      <c r="I77" s="4"/>
    </row>
    <row r="78" spans="1:9">
      <c r="A78" s="43"/>
      <c r="B78" s="265" t="s">
        <v>1396</v>
      </c>
      <c r="C78" s="266" t="s">
        <v>9</v>
      </c>
      <c r="D78" s="267">
        <v>2</v>
      </c>
      <c r="E78" s="268"/>
      <c r="F78" s="269"/>
      <c r="G78" s="4"/>
      <c r="H78" s="4"/>
      <c r="I78" s="4"/>
    </row>
    <row r="79" spans="1:9">
      <c r="A79" s="43"/>
      <c r="B79" s="265" t="s">
        <v>1397</v>
      </c>
      <c r="C79" s="266" t="s">
        <v>9</v>
      </c>
      <c r="D79" s="267">
        <v>2</v>
      </c>
      <c r="E79" s="268"/>
      <c r="F79" s="269"/>
      <c r="G79" s="2"/>
      <c r="H79" s="2"/>
      <c r="I79" s="2"/>
    </row>
    <row r="80" spans="1:9" s="270" customFormat="1">
      <c r="A80" s="286"/>
      <c r="B80" s="265"/>
      <c r="C80" s="266"/>
      <c r="D80" s="267"/>
      <c r="E80" s="268"/>
      <c r="F80" s="269"/>
      <c r="G80" s="274"/>
      <c r="H80" s="274"/>
      <c r="I80" s="274"/>
    </row>
    <row r="81" spans="1:10" s="270" customFormat="1" ht="15.75" customHeight="1">
      <c r="A81" s="286">
        <f>COUNT($A$39:A79)+1</f>
        <v>5</v>
      </c>
      <c r="B81" s="279" t="s">
        <v>1670</v>
      </c>
      <c r="C81" s="280"/>
      <c r="D81" s="281"/>
      <c r="E81" s="282"/>
      <c r="F81" s="283"/>
    </row>
    <row r="82" spans="1:10" ht="71.25">
      <c r="A82" s="43"/>
      <c r="B82" s="265" t="s">
        <v>1675</v>
      </c>
      <c r="C82" s="110"/>
      <c r="D82" s="261"/>
      <c r="E82" s="218"/>
      <c r="F82" s="258"/>
      <c r="G82" s="4"/>
      <c r="H82" s="4"/>
      <c r="I82" s="4"/>
    </row>
    <row r="83" spans="1:10" ht="42.75">
      <c r="A83" s="43"/>
      <c r="B83" s="265" t="s">
        <v>1671</v>
      </c>
      <c r="C83" s="266"/>
      <c r="D83" s="267"/>
      <c r="E83" s="184"/>
      <c r="F83" s="209"/>
      <c r="G83" s="4"/>
      <c r="H83" s="4"/>
      <c r="I83" s="4"/>
    </row>
    <row r="84" spans="1:10">
      <c r="A84" s="43"/>
      <c r="B84" s="265" t="s">
        <v>1672</v>
      </c>
      <c r="C84" s="266" t="s">
        <v>11</v>
      </c>
      <c r="D84" s="267">
        <f>(15+9.5*(0.35+0.2))*1.05</f>
        <v>21.236250000000002</v>
      </c>
      <c r="E84" s="268"/>
      <c r="F84" s="269"/>
      <c r="G84" s="4"/>
      <c r="H84" s="4"/>
      <c r="I84" s="4"/>
    </row>
    <row r="85" spans="1:10">
      <c r="A85" s="43"/>
      <c r="B85" s="265" t="s">
        <v>1673</v>
      </c>
      <c r="C85" s="266" t="s">
        <v>11</v>
      </c>
      <c r="D85" s="267">
        <f>67+261</f>
        <v>328</v>
      </c>
      <c r="E85" s="268"/>
      <c r="F85" s="269"/>
      <c r="G85" s="2"/>
      <c r="H85" s="2"/>
      <c r="I85" s="2"/>
    </row>
    <row r="86" spans="1:10" s="270" customFormat="1">
      <c r="A86" s="286"/>
      <c r="B86" s="265"/>
      <c r="C86" s="266"/>
      <c r="D86" s="267"/>
      <c r="E86" s="268"/>
      <c r="F86" s="269"/>
      <c r="G86" s="274"/>
      <c r="H86" s="274"/>
      <c r="I86" s="274"/>
    </row>
    <row r="87" spans="1:10" s="270" customFormat="1" ht="15.75" customHeight="1">
      <c r="A87" s="286">
        <f>COUNT($A$39:A85)+1</f>
        <v>6</v>
      </c>
      <c r="B87" s="279" t="s">
        <v>3374</v>
      </c>
      <c r="C87" s="280"/>
      <c r="D87" s="281"/>
      <c r="E87" s="282"/>
      <c r="F87" s="283"/>
    </row>
    <row r="88" spans="1:10" ht="71.25">
      <c r="A88" s="43"/>
      <c r="B88" s="265" t="s">
        <v>3372</v>
      </c>
      <c r="C88" s="110"/>
      <c r="D88" s="261"/>
      <c r="E88" s="218"/>
      <c r="F88" s="258"/>
      <c r="G88" s="4"/>
      <c r="H88" s="4"/>
      <c r="I88" s="4"/>
    </row>
    <row r="89" spans="1:10">
      <c r="A89" s="43"/>
      <c r="B89" s="265" t="s">
        <v>3373</v>
      </c>
      <c r="C89" s="266" t="s">
        <v>11</v>
      </c>
      <c r="D89" s="267">
        <v>150</v>
      </c>
      <c r="E89" s="268"/>
      <c r="F89" s="269"/>
      <c r="G89" s="4"/>
      <c r="H89" s="4"/>
      <c r="I89" s="4"/>
    </row>
    <row r="90" spans="1:10">
      <c r="A90" s="43"/>
      <c r="B90" s="265"/>
      <c r="C90" s="266"/>
      <c r="D90" s="267"/>
      <c r="E90" s="268"/>
      <c r="F90" s="269"/>
      <c r="G90" s="4"/>
      <c r="H90" s="4"/>
      <c r="I90" s="4"/>
    </row>
    <row r="91" spans="1:10">
      <c r="A91" s="43"/>
      <c r="B91" s="265"/>
      <c r="C91" s="266"/>
      <c r="D91" s="267"/>
      <c r="E91" s="268"/>
      <c r="F91" s="269"/>
      <c r="G91" s="2"/>
      <c r="H91" s="2"/>
      <c r="I91" s="2"/>
    </row>
    <row r="92" spans="1:10" s="1" customFormat="1">
      <c r="A92" s="288"/>
      <c r="C92" s="35"/>
      <c r="D92" s="106"/>
      <c r="E92" s="209"/>
      <c r="F92" s="209"/>
      <c r="G92" s="4"/>
      <c r="H92" s="4"/>
      <c r="I92" s="4"/>
      <c r="J92" s="88"/>
    </row>
    <row r="93" spans="1:10" s="1" customFormat="1">
      <c r="A93" s="288"/>
      <c r="C93" s="35"/>
      <c r="D93" s="106"/>
      <c r="E93" s="209"/>
      <c r="F93" s="209"/>
      <c r="G93" s="4"/>
      <c r="H93" s="4"/>
      <c r="I93" s="4"/>
      <c r="J93" s="88"/>
    </row>
    <row r="94" spans="1:10" s="1" customFormat="1">
      <c r="A94" s="288"/>
      <c r="C94" s="35"/>
      <c r="D94" s="106"/>
      <c r="E94" s="209"/>
      <c r="F94" s="209"/>
      <c r="G94" s="4"/>
      <c r="H94" s="4"/>
      <c r="I94" s="4"/>
      <c r="J94" s="88"/>
    </row>
    <row r="95" spans="1:10" s="1" customFormat="1">
      <c r="A95" s="288"/>
      <c r="C95" s="35"/>
      <c r="D95" s="106"/>
      <c r="E95" s="209"/>
      <c r="F95" s="209"/>
      <c r="G95" s="4"/>
      <c r="H95" s="4"/>
      <c r="I95" s="4"/>
      <c r="J95" s="88"/>
    </row>
    <row r="96" spans="1:10" s="1" customFormat="1">
      <c r="A96" s="288"/>
      <c r="C96" s="35"/>
      <c r="D96" s="106"/>
      <c r="E96" s="209"/>
      <c r="F96" s="209"/>
      <c r="G96" s="4"/>
      <c r="H96" s="4"/>
      <c r="I96" s="4"/>
      <c r="J96" s="88"/>
    </row>
    <row r="97" spans="1:10">
      <c r="A97" s="43"/>
      <c r="B97" s="4"/>
      <c r="C97" s="35"/>
      <c r="D97" s="106"/>
      <c r="E97" s="209"/>
      <c r="F97" s="209"/>
      <c r="G97" s="4"/>
      <c r="H97" s="4"/>
      <c r="I97" s="4"/>
    </row>
    <row r="101" spans="1:10">
      <c r="A101" s="43"/>
      <c r="B101" s="4"/>
      <c r="C101" s="35"/>
      <c r="D101" s="106"/>
      <c r="E101" s="209"/>
      <c r="F101" s="209"/>
      <c r="G101" s="4"/>
      <c r="H101" s="4"/>
      <c r="I101" s="4"/>
    </row>
    <row r="102" spans="1:10">
      <c r="A102" s="43"/>
      <c r="B102" s="4"/>
      <c r="C102" s="35"/>
      <c r="D102" s="106"/>
      <c r="E102" s="209"/>
      <c r="F102" s="209"/>
      <c r="G102" s="4"/>
      <c r="H102" s="4"/>
      <c r="I102" s="4"/>
    </row>
    <row r="107" spans="1:10">
      <c r="A107" s="43"/>
      <c r="B107" s="4"/>
      <c r="C107" s="110"/>
      <c r="D107" s="261"/>
      <c r="E107" s="218"/>
      <c r="F107" s="258"/>
      <c r="G107" s="2"/>
      <c r="H107" s="2"/>
      <c r="I107" s="2"/>
    </row>
    <row r="108" spans="1:10" s="2" customFormat="1">
      <c r="A108" s="290"/>
      <c r="B108" s="1"/>
      <c r="C108" s="29"/>
      <c r="D108" s="40"/>
      <c r="E108" s="210"/>
      <c r="F108" s="211"/>
      <c r="G108" s="89"/>
      <c r="H108" s="82"/>
      <c r="I108" s="88"/>
      <c r="J108" s="88"/>
    </row>
    <row r="109" spans="1:10">
      <c r="A109" s="43"/>
      <c r="B109" s="4"/>
      <c r="C109" s="42"/>
      <c r="D109" s="41"/>
      <c r="E109" s="207"/>
      <c r="F109" s="208"/>
      <c r="G109" s="2"/>
      <c r="H109" s="2"/>
    </row>
    <row r="110" spans="1:10">
      <c r="A110" s="291" t="s">
        <v>276</v>
      </c>
      <c r="B110" s="173" t="s">
        <v>571</v>
      </c>
      <c r="C110" s="174"/>
      <c r="D110" s="175"/>
      <c r="E110" s="213"/>
      <c r="F110" s="214">
        <f>SUM(F53:F108)</f>
        <v>0</v>
      </c>
      <c r="G110" s="2"/>
      <c r="H110" s="2"/>
    </row>
    <row r="111" spans="1:10">
      <c r="A111" s="43"/>
      <c r="B111" s="24"/>
      <c r="C111" s="29"/>
      <c r="D111" s="40"/>
      <c r="E111" s="211"/>
      <c r="F111" s="211"/>
    </row>
    <row r="112" spans="1:10">
      <c r="A112" s="43"/>
      <c r="B112" s="129"/>
      <c r="C112" s="42"/>
      <c r="D112" s="41"/>
      <c r="E112" s="208"/>
      <c r="F112" s="208"/>
    </row>
  </sheetData>
  <pageMargins left="0.7" right="0.7" top="0.79625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21.xml><?xml version="1.0" encoding="utf-8"?>
<worksheet xmlns="http://schemas.openxmlformats.org/spreadsheetml/2006/main" xmlns:r="http://schemas.openxmlformats.org/officeDocument/2006/relationships">
  <sheetPr>
    <tabColor rgb="FF0070C0"/>
  </sheetPr>
  <dimension ref="A1:F43"/>
  <sheetViews>
    <sheetView showZeros="0" view="pageBreakPreview" zoomScale="85" zoomScaleNormal="100" zoomScaleSheetLayoutView="85" workbookViewId="0">
      <selection activeCell="E3" sqref="E3:G44"/>
    </sheetView>
  </sheetViews>
  <sheetFormatPr defaultColWidth="9.140625" defaultRowHeight="15"/>
  <cols>
    <col min="1" max="1" width="8.7109375" style="23" customWidth="1"/>
    <col min="2" max="2" width="45.140625" style="24" customWidth="1"/>
    <col min="3" max="3" width="8.5703125" style="29" customWidth="1"/>
    <col min="4" max="4" width="10.7109375" style="40" customWidth="1"/>
    <col min="5" max="5" width="13.7109375" style="211" customWidth="1"/>
    <col min="6" max="6" width="16.7109375" style="211" customWidth="1"/>
    <col min="7" max="16384" width="9.140625" style="2"/>
  </cols>
  <sheetData>
    <row r="1" spans="1:6">
      <c r="A1" s="107" t="s">
        <v>260</v>
      </c>
      <c r="B1" s="107" t="s">
        <v>261</v>
      </c>
      <c r="C1" s="64" t="s">
        <v>262</v>
      </c>
      <c r="D1" s="109" t="s">
        <v>263</v>
      </c>
      <c r="E1" s="205" t="s">
        <v>264</v>
      </c>
      <c r="F1" s="206" t="s">
        <v>265</v>
      </c>
    </row>
    <row r="3" spans="1:6">
      <c r="A3" s="17" t="s">
        <v>685</v>
      </c>
      <c r="B3" s="25" t="s">
        <v>213</v>
      </c>
      <c r="E3" s="210"/>
    </row>
    <row r="4" spans="1:6">
      <c r="B4" s="1"/>
      <c r="E4" s="210"/>
    </row>
    <row r="5" spans="1:6">
      <c r="B5" s="1" t="s">
        <v>214</v>
      </c>
      <c r="E5" s="210"/>
    </row>
    <row r="6" spans="1:6" ht="180">
      <c r="B6" s="1" t="s">
        <v>215</v>
      </c>
      <c r="E6" s="210"/>
    </row>
    <row r="7" spans="1:6" ht="90">
      <c r="B7" s="1" t="s">
        <v>216</v>
      </c>
      <c r="E7" s="210"/>
    </row>
    <row r="8" spans="1:6" ht="90">
      <c r="B8" s="1" t="s">
        <v>217</v>
      </c>
      <c r="E8" s="210"/>
    </row>
    <row r="9" spans="1:6" ht="120">
      <c r="B9" s="1" t="s">
        <v>218</v>
      </c>
      <c r="E9" s="210"/>
    </row>
    <row r="10" spans="1:6" ht="120">
      <c r="B10" s="1" t="s">
        <v>569</v>
      </c>
      <c r="E10" s="210"/>
    </row>
    <row r="11" spans="1:6" ht="90">
      <c r="B11" s="1" t="s">
        <v>219</v>
      </c>
      <c r="E11" s="210"/>
    </row>
    <row r="12" spans="1:6" ht="45">
      <c r="B12" s="1" t="s">
        <v>1252</v>
      </c>
      <c r="E12" s="210"/>
    </row>
    <row r="13" spans="1:6">
      <c r="B13" s="1"/>
      <c r="E13" s="210"/>
    </row>
    <row r="14" spans="1:6">
      <c r="A14" s="17">
        <f>COUNT($A$5:A11)+1</f>
        <v>1</v>
      </c>
      <c r="B14" s="25" t="s">
        <v>568</v>
      </c>
      <c r="E14" s="210"/>
    </row>
    <row r="15" spans="1:6" ht="60">
      <c r="B15" s="1" t="s">
        <v>570</v>
      </c>
      <c r="E15" s="210"/>
    </row>
    <row r="16" spans="1:6">
      <c r="B16" s="1" t="s">
        <v>1246</v>
      </c>
      <c r="E16" s="210"/>
    </row>
    <row r="17" spans="1:5" ht="45">
      <c r="B17" s="1" t="s">
        <v>1245</v>
      </c>
      <c r="E17" s="210"/>
    </row>
    <row r="18" spans="1:5" ht="90">
      <c r="B18" s="1" t="s">
        <v>219</v>
      </c>
      <c r="E18" s="210"/>
    </row>
    <row r="19" spans="1:5">
      <c r="B19" s="1" t="s">
        <v>220</v>
      </c>
      <c r="C19" s="29" t="s">
        <v>11</v>
      </c>
      <c r="D19" s="40">
        <f>SUM(12.67+3.89+3.62+2.98+11.71+7.72+5.22+4.84+13.5+11.54+57.6+41.31+3.15+51.49+11.09+8.3+4.31)*1.2</f>
        <v>305.928</v>
      </c>
      <c r="E19" s="210"/>
    </row>
    <row r="20" spans="1:5">
      <c r="B20" s="1"/>
      <c r="E20" s="210"/>
    </row>
    <row r="21" spans="1:5">
      <c r="A21" s="17">
        <f>COUNT($A$5:A20)+1</f>
        <v>2</v>
      </c>
      <c r="B21" s="25" t="s">
        <v>568</v>
      </c>
      <c r="E21" s="210"/>
    </row>
    <row r="22" spans="1:5" ht="60">
      <c r="B22" s="1" t="s">
        <v>570</v>
      </c>
      <c r="E22" s="210"/>
    </row>
    <row r="23" spans="1:5">
      <c r="B23" s="1" t="s">
        <v>1247</v>
      </c>
      <c r="E23" s="210"/>
    </row>
    <row r="24" spans="1:5" ht="60">
      <c r="B24" s="1" t="s">
        <v>1249</v>
      </c>
      <c r="E24" s="210"/>
    </row>
    <row r="25" spans="1:5" ht="90">
      <c r="B25" s="1" t="s">
        <v>219</v>
      </c>
      <c r="E25" s="210"/>
    </row>
    <row r="26" spans="1:5">
      <c r="B26" s="1" t="s">
        <v>220</v>
      </c>
      <c r="C26" s="29" t="s">
        <v>11</v>
      </c>
      <c r="D26" s="40">
        <f>SUM(6.92+5.4+1.04+6.57+4.06+14.51+13.4+4+13.14+2.1+4.54+7.12)*1.2</f>
        <v>99.36</v>
      </c>
      <c r="E26" s="210"/>
    </row>
    <row r="27" spans="1:5">
      <c r="B27" s="1"/>
      <c r="E27" s="210"/>
    </row>
    <row r="28" spans="1:5">
      <c r="A28" s="17">
        <f>COUNT($A$5:A27)+1</f>
        <v>3</v>
      </c>
      <c r="B28" s="25" t="s">
        <v>568</v>
      </c>
      <c r="E28" s="210"/>
    </row>
    <row r="29" spans="1:5" ht="60">
      <c r="B29" s="1" t="s">
        <v>570</v>
      </c>
      <c r="E29" s="210"/>
    </row>
    <row r="30" spans="1:5">
      <c r="B30" s="1" t="s">
        <v>1248</v>
      </c>
      <c r="E30" s="210"/>
    </row>
    <row r="31" spans="1:5" ht="60">
      <c r="B31" s="1" t="s">
        <v>3393</v>
      </c>
      <c r="E31" s="210"/>
    </row>
    <row r="32" spans="1:5" ht="90">
      <c r="B32" s="1" t="s">
        <v>219</v>
      </c>
      <c r="E32" s="210"/>
    </row>
    <row r="33" spans="1:6">
      <c r="B33" s="1" t="s">
        <v>220</v>
      </c>
      <c r="C33" s="29" t="s">
        <v>11</v>
      </c>
      <c r="D33" s="40">
        <f>(1*1.54+1*1.39)*1.1</f>
        <v>3.2229999999999999</v>
      </c>
      <c r="E33" s="210"/>
    </row>
    <row r="34" spans="1:6">
      <c r="B34" s="1"/>
      <c r="E34" s="210"/>
    </row>
    <row r="35" spans="1:6">
      <c r="A35" s="17">
        <f>COUNT($A$5:A34)+1</f>
        <v>4</v>
      </c>
      <c r="B35" s="25" t="s">
        <v>1250</v>
      </c>
      <c r="E35" s="210"/>
    </row>
    <row r="36" spans="1:6" ht="30">
      <c r="B36" s="1" t="s">
        <v>1251</v>
      </c>
      <c r="E36" s="210"/>
    </row>
    <row r="37" spans="1:6" ht="135">
      <c r="B37" s="1" t="s">
        <v>1253</v>
      </c>
      <c r="E37" s="210"/>
    </row>
    <row r="38" spans="1:6" ht="135">
      <c r="B38" s="1" t="s">
        <v>221</v>
      </c>
      <c r="E38" s="210"/>
    </row>
    <row r="39" spans="1:6">
      <c r="B39" s="1" t="s">
        <v>222</v>
      </c>
      <c r="C39" s="29" t="s">
        <v>11</v>
      </c>
      <c r="D39" s="40">
        <f>(((1.71+1.6+1.83)*4+(1.54*8+1.05*6)+(2.1*2+1*2+1*6+0.95*6+1.62*12+2.2*4+3.39*4+1.48*2+1.05*2+1.93*2+1.35*2+1.45*2+2.16*2+2*4+3.39*2+3.88*2+1.02*2+2.04*2+4.15*4+1.43*4+0.4*4))*3-(5.2*0.8+0.8*2.1*10+1*2.1+0.8*2.1*20+2*0.8*1.5+1*2.1+0.8*2.1+0.8*2.1*2+2.35*1.2))*1.1</f>
        <v>486.06800000000015</v>
      </c>
      <c r="E39" s="210"/>
    </row>
    <row r="40" spans="1:6">
      <c r="A40" s="17"/>
      <c r="B40" s="25"/>
      <c r="E40" s="210"/>
    </row>
    <row r="41" spans="1:6">
      <c r="B41" s="1"/>
      <c r="E41" s="210"/>
    </row>
    <row r="42" spans="1:6">
      <c r="B42" s="1"/>
      <c r="E42" s="210"/>
    </row>
    <row r="43" spans="1:6">
      <c r="A43" s="172" t="s">
        <v>685</v>
      </c>
      <c r="B43" s="173" t="s">
        <v>223</v>
      </c>
      <c r="C43" s="174"/>
      <c r="D43" s="175"/>
      <c r="E43" s="213"/>
      <c r="F43" s="214"/>
    </row>
  </sheetData>
  <pageMargins left="0.7" right="0.7" top="0.79625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22.xml><?xml version="1.0" encoding="utf-8"?>
<worksheet xmlns="http://schemas.openxmlformats.org/spreadsheetml/2006/main" xmlns:r="http://schemas.openxmlformats.org/officeDocument/2006/relationships">
  <sheetPr>
    <tabColor rgb="FF0070C0"/>
  </sheetPr>
  <dimension ref="A1:Y104"/>
  <sheetViews>
    <sheetView showZeros="0" view="pageBreakPreview" zoomScale="85" zoomScaleNormal="100" zoomScaleSheetLayoutView="85" workbookViewId="0">
      <selection activeCell="E2" sqref="E2:G96"/>
    </sheetView>
  </sheetViews>
  <sheetFormatPr defaultColWidth="9.140625" defaultRowHeight="15"/>
  <cols>
    <col min="1" max="1" width="8.7109375" style="23" customWidth="1"/>
    <col min="2" max="2" width="45.140625" style="24" customWidth="1"/>
    <col min="3" max="3" width="8.5703125" style="29" customWidth="1"/>
    <col min="4" max="4" width="10.7109375" style="40" customWidth="1"/>
    <col min="5" max="5" width="13.85546875" style="163" customWidth="1"/>
    <col min="6" max="6" width="16.7109375" style="163" customWidth="1"/>
    <col min="7" max="16384" width="9.140625" style="2"/>
  </cols>
  <sheetData>
    <row r="1" spans="1:10">
      <c r="A1" s="107" t="s">
        <v>260</v>
      </c>
      <c r="B1" s="107" t="s">
        <v>261</v>
      </c>
      <c r="C1" s="64" t="s">
        <v>262</v>
      </c>
      <c r="D1" s="109" t="s">
        <v>263</v>
      </c>
      <c r="E1" s="109" t="s">
        <v>264</v>
      </c>
      <c r="F1" s="64" t="s">
        <v>265</v>
      </c>
    </row>
    <row r="3" spans="1:10">
      <c r="A3" s="17" t="s">
        <v>686</v>
      </c>
      <c r="B3" s="25" t="s">
        <v>770</v>
      </c>
      <c r="E3" s="162"/>
    </row>
    <row r="4" spans="1:10">
      <c r="A4" s="17"/>
      <c r="B4" s="1"/>
      <c r="E4" s="162"/>
    </row>
    <row r="5" spans="1:10">
      <c r="A5" s="555"/>
      <c r="B5" s="1" t="s">
        <v>771</v>
      </c>
      <c r="C5" s="31"/>
      <c r="D5" s="171"/>
      <c r="E5" s="162"/>
      <c r="F5" s="165"/>
    </row>
    <row r="6" spans="1:10" ht="45">
      <c r="A6" s="555"/>
      <c r="B6" s="1" t="s">
        <v>772</v>
      </c>
      <c r="C6" s="31"/>
      <c r="D6" s="171"/>
      <c r="E6" s="162"/>
      <c r="F6" s="165"/>
    </row>
    <row r="7" spans="1:10">
      <c r="A7" s="17"/>
      <c r="B7" s="1"/>
      <c r="E7" s="162"/>
    </row>
    <row r="8" spans="1:10">
      <c r="A8" s="17"/>
      <c r="B8" s="1"/>
      <c r="E8" s="162"/>
    </row>
    <row r="9" spans="1:10" s="1" customFormat="1" ht="60">
      <c r="A9" s="17">
        <f>COUNT($A$7:A8)+1</f>
        <v>1</v>
      </c>
      <c r="B9" s="1" t="s">
        <v>1452</v>
      </c>
      <c r="C9" s="31"/>
      <c r="D9" s="105"/>
      <c r="E9" s="165"/>
      <c r="F9" s="165"/>
      <c r="G9" s="77"/>
      <c r="H9" s="77"/>
      <c r="I9" s="77"/>
      <c r="J9" s="77"/>
    </row>
    <row r="10" spans="1:10" s="1" customFormat="1" ht="30">
      <c r="A10" s="33"/>
      <c r="B10" s="1" t="s">
        <v>155</v>
      </c>
      <c r="C10" s="31"/>
      <c r="D10" s="105"/>
      <c r="E10" s="165"/>
      <c r="F10" s="165"/>
      <c r="G10" s="77"/>
      <c r="H10" s="77"/>
      <c r="I10" s="77"/>
      <c r="J10" s="77"/>
    </row>
    <row r="11" spans="1:10" ht="30">
      <c r="A11" s="33"/>
      <c r="B11" s="1" t="s">
        <v>773</v>
      </c>
      <c r="C11" s="31"/>
      <c r="D11" s="105"/>
      <c r="E11" s="165"/>
      <c r="F11" s="165"/>
    </row>
    <row r="12" spans="1:10" ht="90">
      <c r="A12" s="33"/>
      <c r="B12" s="1" t="s">
        <v>1459</v>
      </c>
      <c r="C12" s="31"/>
      <c r="D12" s="105"/>
      <c r="E12" s="165"/>
      <c r="F12" s="165"/>
    </row>
    <row r="13" spans="1:10" ht="30">
      <c r="A13" s="33"/>
      <c r="B13" s="1" t="s">
        <v>1456</v>
      </c>
      <c r="C13" s="31" t="s">
        <v>11</v>
      </c>
      <c r="D13" s="105">
        <f>(1216-150)*0.4</f>
        <v>426.40000000000003</v>
      </c>
      <c r="E13" s="165"/>
      <c r="F13" s="183"/>
    </row>
    <row r="14" spans="1:10" ht="30">
      <c r="A14" s="33"/>
      <c r="B14" s="1" t="s">
        <v>775</v>
      </c>
      <c r="C14" s="31" t="s">
        <v>11</v>
      </c>
      <c r="D14" s="105">
        <f>(938-336)*0.4</f>
        <v>240.8</v>
      </c>
      <c r="E14" s="165"/>
      <c r="F14" s="183"/>
    </row>
    <row r="15" spans="1:10">
      <c r="A15" s="33"/>
      <c r="B15" s="1"/>
      <c r="C15" s="31"/>
      <c r="D15" s="105"/>
      <c r="E15" s="165"/>
      <c r="F15" s="183"/>
    </row>
    <row r="16" spans="1:10" ht="45">
      <c r="A16" s="17">
        <f>COUNT($A$7:A15)+1</f>
        <v>2</v>
      </c>
      <c r="B16" s="1" t="s">
        <v>1454</v>
      </c>
      <c r="E16" s="162"/>
      <c r="F16" s="183"/>
    </row>
    <row r="17" spans="1:6" ht="75">
      <c r="B17" s="1" t="s">
        <v>774</v>
      </c>
      <c r="E17" s="162"/>
      <c r="F17" s="183"/>
    </row>
    <row r="18" spans="1:6">
      <c r="B18" s="1" t="s">
        <v>1455</v>
      </c>
      <c r="C18" s="29" t="s">
        <v>11</v>
      </c>
      <c r="D18" s="40">
        <v>165</v>
      </c>
      <c r="E18" s="162"/>
      <c r="F18" s="183"/>
    </row>
    <row r="19" spans="1:6">
      <c r="B19" s="1" t="s">
        <v>1457</v>
      </c>
      <c r="C19" s="29" t="s">
        <v>11</v>
      </c>
      <c r="D19" s="40">
        <v>1048</v>
      </c>
      <c r="E19" s="162"/>
      <c r="F19" s="183"/>
    </row>
    <row r="20" spans="1:6">
      <c r="A20" s="17"/>
      <c r="B20" s="1"/>
      <c r="E20" s="162"/>
      <c r="F20" s="183"/>
    </row>
    <row r="21" spans="1:6" ht="48" customHeight="1">
      <c r="A21" s="17">
        <f>COUNT($A$7:A20)+1</f>
        <v>3</v>
      </c>
      <c r="B21" s="1" t="s">
        <v>776</v>
      </c>
      <c r="E21" s="162"/>
      <c r="F21" s="183"/>
    </row>
    <row r="22" spans="1:6" ht="36.75" customHeight="1">
      <c r="B22" s="1" t="s">
        <v>155</v>
      </c>
      <c r="E22" s="162"/>
      <c r="F22" s="183"/>
    </row>
    <row r="23" spans="1:6" ht="45">
      <c r="B23" s="1" t="s">
        <v>777</v>
      </c>
      <c r="E23" s="162"/>
      <c r="F23" s="183"/>
    </row>
    <row r="24" spans="1:6" ht="60">
      <c r="B24" s="1" t="s">
        <v>778</v>
      </c>
      <c r="E24" s="162"/>
      <c r="F24" s="183"/>
    </row>
    <row r="25" spans="1:6" ht="30">
      <c r="B25" s="1" t="s">
        <v>773</v>
      </c>
      <c r="E25" s="162"/>
      <c r="F25" s="183"/>
    </row>
    <row r="26" spans="1:6" ht="45">
      <c r="B26" s="1" t="s">
        <v>1461</v>
      </c>
      <c r="E26" s="162"/>
      <c r="F26" s="183"/>
    </row>
    <row r="27" spans="1:6">
      <c r="B27" s="1" t="s">
        <v>1458</v>
      </c>
      <c r="E27" s="162"/>
      <c r="F27" s="183"/>
    </row>
    <row r="28" spans="1:6" ht="75">
      <c r="A28" s="17"/>
      <c r="B28" s="1" t="s">
        <v>1460</v>
      </c>
      <c r="C28" s="29" t="s">
        <v>11</v>
      </c>
      <c r="D28" s="105">
        <f>(1216-150)*0.6</f>
        <v>639.6</v>
      </c>
      <c r="E28" s="162"/>
      <c r="F28" s="183"/>
    </row>
    <row r="29" spans="1:6" ht="60">
      <c r="A29" s="17"/>
      <c r="B29" s="1" t="s">
        <v>1462</v>
      </c>
      <c r="C29" s="29" t="s">
        <v>11</v>
      </c>
      <c r="D29" s="105">
        <f>(938-326)*0.6</f>
        <v>367.2</v>
      </c>
      <c r="E29" s="162"/>
      <c r="F29" s="183"/>
    </row>
    <row r="30" spans="1:6">
      <c r="B30" s="556"/>
      <c r="E30" s="162"/>
      <c r="F30" s="183"/>
    </row>
    <row r="31" spans="1:6">
      <c r="E31" s="162"/>
      <c r="F31" s="183"/>
    </row>
    <row r="32" spans="1:6" ht="105">
      <c r="A32" s="17">
        <f>COUNT($A$7:A31)+1</f>
        <v>4</v>
      </c>
      <c r="B32" s="1" t="s">
        <v>1463</v>
      </c>
      <c r="C32" s="31"/>
      <c r="D32" s="171"/>
      <c r="E32" s="162"/>
      <c r="F32" s="183"/>
    </row>
    <row r="33" spans="1:25" s="166" customFormat="1" ht="60">
      <c r="A33" s="33"/>
      <c r="B33" s="1" t="s">
        <v>779</v>
      </c>
      <c r="C33" s="31"/>
      <c r="D33" s="171"/>
      <c r="E33" s="162"/>
      <c r="F33" s="183"/>
      <c r="G33" s="77"/>
      <c r="H33" s="77"/>
      <c r="I33" s="77"/>
      <c r="J33" s="77"/>
      <c r="K33" s="1"/>
      <c r="L33" s="1"/>
      <c r="M33" s="1"/>
      <c r="N33" s="1"/>
      <c r="O33" s="1"/>
      <c r="P33" s="1"/>
      <c r="Q33" s="1"/>
      <c r="R33" s="1"/>
      <c r="S33" s="1"/>
      <c r="T33" s="1"/>
      <c r="U33" s="1"/>
      <c r="V33" s="1"/>
      <c r="W33" s="1"/>
      <c r="X33" s="1"/>
      <c r="Y33" s="1"/>
    </row>
    <row r="34" spans="1:25" s="166" customFormat="1">
      <c r="A34" s="33"/>
      <c r="B34" s="1" t="s">
        <v>1464</v>
      </c>
      <c r="C34" s="31" t="s">
        <v>18</v>
      </c>
      <c r="D34" s="105">
        <v>6</v>
      </c>
      <c r="E34" s="165"/>
      <c r="F34" s="183"/>
      <c r="G34" s="77"/>
      <c r="H34" s="77"/>
      <c r="I34" s="77"/>
      <c r="J34" s="77"/>
      <c r="K34" s="1"/>
      <c r="L34" s="1"/>
      <c r="M34" s="1"/>
      <c r="N34" s="1"/>
      <c r="O34" s="1"/>
      <c r="P34" s="1"/>
      <c r="Q34" s="1"/>
      <c r="R34" s="1"/>
      <c r="S34" s="1"/>
      <c r="T34" s="1"/>
      <c r="U34" s="1"/>
      <c r="V34" s="1"/>
      <c r="W34" s="1"/>
      <c r="X34" s="1"/>
      <c r="Y34" s="1"/>
    </row>
    <row r="35" spans="1:25" s="1" customFormat="1">
      <c r="A35" s="33"/>
      <c r="C35" s="31"/>
      <c r="D35" s="105"/>
      <c r="E35" s="165"/>
      <c r="F35" s="183"/>
      <c r="G35" s="77"/>
      <c r="H35" s="77"/>
      <c r="I35" s="77"/>
      <c r="J35" s="77"/>
    </row>
    <row r="36" spans="1:25" ht="24.75" customHeight="1">
      <c r="B36" s="1"/>
      <c r="E36" s="162"/>
      <c r="F36" s="183"/>
    </row>
    <row r="37" spans="1:25" s="166" customFormat="1" ht="105">
      <c r="A37" s="17">
        <f>COUNT($A$7:A36)+1</f>
        <v>5</v>
      </c>
      <c r="B37" s="1" t="s">
        <v>780</v>
      </c>
      <c r="C37" s="31"/>
      <c r="D37" s="171"/>
      <c r="E37" s="162"/>
      <c r="F37" s="183"/>
      <c r="G37" s="77"/>
      <c r="H37" s="77"/>
      <c r="I37" s="77"/>
      <c r="J37" s="77"/>
      <c r="K37" s="1"/>
      <c r="L37" s="1"/>
      <c r="M37" s="1"/>
      <c r="N37" s="1"/>
      <c r="O37" s="1"/>
      <c r="P37" s="1"/>
      <c r="Q37" s="1"/>
      <c r="R37" s="1"/>
      <c r="S37" s="1"/>
      <c r="T37" s="1"/>
      <c r="U37" s="1"/>
      <c r="V37" s="1"/>
      <c r="W37" s="1"/>
      <c r="X37" s="1"/>
      <c r="Y37" s="1"/>
    </row>
    <row r="38" spans="1:25" s="166" customFormat="1">
      <c r="A38" s="33"/>
      <c r="B38" s="1" t="s">
        <v>781</v>
      </c>
      <c r="C38" s="31" t="s">
        <v>18</v>
      </c>
      <c r="D38" s="171">
        <v>1</v>
      </c>
      <c r="E38" s="162"/>
      <c r="F38" s="183"/>
      <c r="G38" s="77"/>
      <c r="H38" s="77"/>
      <c r="I38" s="77"/>
      <c r="J38" s="77"/>
      <c r="K38" s="1"/>
      <c r="L38" s="1"/>
      <c r="M38" s="1"/>
      <c r="N38" s="1"/>
      <c r="O38" s="1"/>
      <c r="P38" s="1"/>
      <c r="Q38" s="1"/>
      <c r="R38" s="1"/>
      <c r="S38" s="1"/>
      <c r="T38" s="1"/>
      <c r="U38" s="1"/>
      <c r="V38" s="1"/>
      <c r="W38" s="1"/>
      <c r="X38" s="1"/>
      <c r="Y38" s="1"/>
    </row>
    <row r="39" spans="1:25" s="166" customFormat="1">
      <c r="A39" s="33"/>
      <c r="B39" s="1" t="s">
        <v>782</v>
      </c>
      <c r="C39" s="31" t="s">
        <v>18</v>
      </c>
      <c r="D39" s="171">
        <v>1</v>
      </c>
      <c r="E39" s="162"/>
      <c r="F39" s="183"/>
      <c r="G39" s="77"/>
      <c r="H39" s="77"/>
      <c r="I39" s="77"/>
      <c r="J39" s="77"/>
      <c r="K39" s="1"/>
      <c r="L39" s="1"/>
      <c r="M39" s="1"/>
      <c r="N39" s="1"/>
      <c r="O39" s="1"/>
      <c r="P39" s="1"/>
      <c r="Q39" s="1"/>
      <c r="R39" s="1"/>
      <c r="S39" s="1"/>
      <c r="T39" s="1"/>
      <c r="U39" s="1"/>
      <c r="V39" s="1"/>
      <c r="W39" s="1"/>
      <c r="X39" s="1"/>
      <c r="Y39" s="1"/>
    </row>
    <row r="40" spans="1:25" s="166" customFormat="1">
      <c r="A40" s="33"/>
      <c r="B40" s="1" t="s">
        <v>783</v>
      </c>
      <c r="C40" s="31" t="s">
        <v>11</v>
      </c>
      <c r="D40" s="171">
        <v>117</v>
      </c>
      <c r="E40" s="162"/>
      <c r="F40" s="183"/>
      <c r="G40" s="77"/>
      <c r="H40" s="77"/>
      <c r="I40" s="77"/>
      <c r="J40" s="77"/>
      <c r="K40" s="1"/>
      <c r="L40" s="1"/>
      <c r="M40" s="1"/>
      <c r="N40" s="1"/>
      <c r="O40" s="1"/>
      <c r="P40" s="1"/>
      <c r="Q40" s="1"/>
      <c r="R40" s="1"/>
      <c r="S40" s="1"/>
      <c r="T40" s="1"/>
      <c r="U40" s="1"/>
      <c r="V40" s="1"/>
      <c r="W40" s="1"/>
      <c r="X40" s="1"/>
      <c r="Y40" s="1"/>
    </row>
    <row r="41" spans="1:25">
      <c r="E41" s="162"/>
      <c r="F41" s="183"/>
    </row>
    <row r="42" spans="1:25" ht="60">
      <c r="A42" s="17">
        <f>COUNT($A$7:A41)+1</f>
        <v>6</v>
      </c>
      <c r="B42" s="1" t="s">
        <v>784</v>
      </c>
      <c r="E42" s="162"/>
      <c r="F42" s="183"/>
    </row>
    <row r="43" spans="1:25" ht="90">
      <c r="B43" s="1" t="s">
        <v>785</v>
      </c>
      <c r="E43" s="162"/>
      <c r="F43" s="183"/>
    </row>
    <row r="44" spans="1:25" ht="45">
      <c r="B44" s="1" t="s">
        <v>1465</v>
      </c>
      <c r="E44" s="162"/>
      <c r="F44" s="183"/>
    </row>
    <row r="45" spans="1:25">
      <c r="B45" s="1" t="s">
        <v>786</v>
      </c>
      <c r="C45" s="29" t="s">
        <v>43</v>
      </c>
      <c r="D45" s="40">
        <v>400</v>
      </c>
      <c r="E45" s="162"/>
      <c r="F45" s="183"/>
    </row>
    <row r="46" spans="1:25">
      <c r="E46" s="162"/>
      <c r="F46" s="183"/>
    </row>
    <row r="47" spans="1:25">
      <c r="E47" s="162"/>
      <c r="F47" s="183"/>
    </row>
    <row r="48" spans="1:25" ht="108" customHeight="1">
      <c r="A48" s="17">
        <f>COUNT($A$7:A47)+1</f>
        <v>7</v>
      </c>
      <c r="B48" s="1" t="s">
        <v>787</v>
      </c>
      <c r="F48" s="183"/>
    </row>
    <row r="49" spans="1:6">
      <c r="B49" s="24" t="s">
        <v>788</v>
      </c>
      <c r="C49" s="29" t="s">
        <v>121</v>
      </c>
      <c r="D49" s="40">
        <v>20</v>
      </c>
      <c r="E49" s="162"/>
      <c r="F49" s="183"/>
    </row>
    <row r="50" spans="1:6">
      <c r="F50" s="183"/>
    </row>
    <row r="51" spans="1:6" s="57" customFormat="1">
      <c r="A51" s="139"/>
      <c r="B51" s="60"/>
      <c r="C51" s="61"/>
      <c r="D51" s="155"/>
      <c r="E51" s="170"/>
      <c r="F51" s="183"/>
    </row>
    <row r="52" spans="1:6" s="57" customFormat="1" ht="60">
      <c r="A52" s="133">
        <f>COUNT($A$5:A50)+1</f>
        <v>8</v>
      </c>
      <c r="B52" s="57" t="s">
        <v>1466</v>
      </c>
      <c r="C52" s="58"/>
      <c r="D52" s="130"/>
      <c r="E52" s="168"/>
      <c r="F52" s="183"/>
    </row>
    <row r="53" spans="1:6" s="57" customFormat="1" ht="30">
      <c r="A53" s="156"/>
      <c r="B53" s="57" t="s">
        <v>790</v>
      </c>
      <c r="C53" s="58"/>
      <c r="D53" s="130"/>
      <c r="E53" s="168"/>
      <c r="F53" s="183"/>
    </row>
    <row r="54" spans="1:6" s="57" customFormat="1" ht="75">
      <c r="A54" s="156"/>
      <c r="B54" s="57" t="s">
        <v>791</v>
      </c>
      <c r="C54" s="58"/>
      <c r="D54" s="130"/>
      <c r="E54" s="168"/>
      <c r="F54" s="183"/>
    </row>
    <row r="55" spans="1:6" s="57" customFormat="1">
      <c r="A55" s="137"/>
      <c r="B55" s="57" t="s">
        <v>789</v>
      </c>
      <c r="C55" s="58" t="s">
        <v>11</v>
      </c>
      <c r="D55" s="130">
        <v>10</v>
      </c>
      <c r="E55" s="168"/>
      <c r="F55" s="183"/>
    </row>
    <row r="56" spans="1:6">
      <c r="C56" s="31"/>
      <c r="D56" s="105"/>
      <c r="E56" s="162"/>
    </row>
    <row r="58" spans="1:6">
      <c r="A58" s="172" t="s">
        <v>686</v>
      </c>
      <c r="B58" s="173" t="s">
        <v>792</v>
      </c>
      <c r="C58" s="174"/>
      <c r="D58" s="175"/>
      <c r="E58" s="176"/>
      <c r="F58" s="177"/>
    </row>
    <row r="104" spans="1:1">
      <c r="A104" s="23" t="s">
        <v>793</v>
      </c>
    </row>
  </sheetData>
  <pageMargins left="0.7" right="0.7" top="0.79625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23.xml><?xml version="1.0" encoding="utf-8"?>
<worksheet xmlns="http://schemas.openxmlformats.org/spreadsheetml/2006/main" xmlns:r="http://schemas.openxmlformats.org/officeDocument/2006/relationships">
  <sheetPr>
    <tabColor rgb="FF0070C0"/>
  </sheetPr>
  <dimension ref="A1:I102"/>
  <sheetViews>
    <sheetView showZeros="0" view="pageBreakPreview" zoomScale="85" zoomScaleNormal="100" zoomScaleSheetLayoutView="85" workbookViewId="0">
      <selection activeCell="E2" sqref="E2:F100"/>
    </sheetView>
  </sheetViews>
  <sheetFormatPr defaultColWidth="9.140625" defaultRowHeight="15"/>
  <cols>
    <col min="1" max="1" width="8.7109375" style="23" customWidth="1"/>
    <col min="2" max="2" width="45.140625" style="24" customWidth="1"/>
    <col min="3" max="3" width="8.5703125" style="29" customWidth="1"/>
    <col min="4" max="4" width="10.7109375" style="40" customWidth="1"/>
    <col min="5" max="5" width="13.7109375" style="183" customWidth="1"/>
    <col min="6" max="6" width="16.7109375" style="183" customWidth="1"/>
    <col min="7" max="16384" width="9.140625" style="2"/>
  </cols>
  <sheetData>
    <row r="1" spans="1:6">
      <c r="A1" s="107" t="s">
        <v>260</v>
      </c>
      <c r="B1" s="107" t="s">
        <v>261</v>
      </c>
      <c r="C1" s="64" t="s">
        <v>262</v>
      </c>
      <c r="D1" s="109" t="s">
        <v>263</v>
      </c>
      <c r="E1" s="186" t="s">
        <v>264</v>
      </c>
      <c r="F1" s="187" t="s">
        <v>265</v>
      </c>
    </row>
    <row r="3" spans="1:6">
      <c r="A3" s="17" t="s">
        <v>687</v>
      </c>
      <c r="B3" s="25" t="s">
        <v>224</v>
      </c>
      <c r="E3" s="182"/>
    </row>
    <row r="4" spans="1:6">
      <c r="B4" s="1"/>
      <c r="E4" s="182"/>
    </row>
    <row r="5" spans="1:6" s="80" customFormat="1">
      <c r="A5" s="555"/>
      <c r="B5" s="1"/>
      <c r="C5" s="31"/>
      <c r="D5" s="171"/>
      <c r="E5" s="182"/>
      <c r="F5" s="184"/>
    </row>
    <row r="6" spans="1:6" s="80" customFormat="1" ht="45">
      <c r="A6" s="555"/>
      <c r="B6" s="1" t="s">
        <v>604</v>
      </c>
      <c r="C6" s="31"/>
      <c r="D6" s="171"/>
      <c r="E6" s="182"/>
      <c r="F6" s="184"/>
    </row>
    <row r="7" spans="1:6" s="80" customFormat="1" ht="30">
      <c r="A7" s="555"/>
      <c r="B7" s="1" t="s">
        <v>605</v>
      </c>
      <c r="C7" s="31"/>
      <c r="D7" s="171"/>
      <c r="E7" s="182"/>
      <c r="F7" s="184"/>
    </row>
    <row r="8" spans="1:6" s="80" customFormat="1">
      <c r="A8" s="555"/>
      <c r="B8" s="1" t="s">
        <v>606</v>
      </c>
      <c r="C8" s="31"/>
      <c r="D8" s="171"/>
      <c r="E8" s="182"/>
      <c r="F8" s="184"/>
    </row>
    <row r="9" spans="1:6" s="80" customFormat="1" ht="30">
      <c r="A9" s="555"/>
      <c r="B9" s="1" t="s">
        <v>607</v>
      </c>
      <c r="C9" s="31"/>
      <c r="D9" s="171"/>
      <c r="E9" s="182"/>
      <c r="F9" s="184"/>
    </row>
    <row r="10" spans="1:6" s="80" customFormat="1">
      <c r="A10" s="555"/>
      <c r="B10" s="1" t="s">
        <v>608</v>
      </c>
      <c r="C10" s="31"/>
      <c r="D10" s="171"/>
      <c r="E10" s="182"/>
      <c r="F10" s="184"/>
    </row>
    <row r="11" spans="1:6" s="80" customFormat="1">
      <c r="A11" s="555"/>
      <c r="B11" s="1" t="s">
        <v>609</v>
      </c>
      <c r="C11" s="31"/>
      <c r="D11" s="171"/>
      <c r="E11" s="182"/>
      <c r="F11" s="184"/>
    </row>
    <row r="12" spans="1:6" s="80" customFormat="1">
      <c r="A12" s="555"/>
      <c r="B12" s="1" t="s">
        <v>610</v>
      </c>
      <c r="C12" s="31"/>
      <c r="D12" s="171"/>
      <c r="E12" s="182"/>
      <c r="F12" s="184"/>
    </row>
    <row r="13" spans="1:6" s="80" customFormat="1" ht="45">
      <c r="A13" s="555"/>
      <c r="B13" s="1" t="s">
        <v>1489</v>
      </c>
      <c r="C13" s="31"/>
      <c r="D13" s="171"/>
      <c r="E13" s="182"/>
      <c r="F13" s="184"/>
    </row>
    <row r="14" spans="1:6" s="80" customFormat="1" ht="139.5" customHeight="1">
      <c r="A14" s="555"/>
      <c r="B14" s="1" t="s">
        <v>1490</v>
      </c>
      <c r="C14" s="31"/>
      <c r="D14" s="171"/>
      <c r="E14" s="182"/>
      <c r="F14" s="184"/>
    </row>
    <row r="15" spans="1:6" s="80" customFormat="1" ht="183" customHeight="1">
      <c r="A15" s="555"/>
      <c r="B15" s="1" t="s">
        <v>1491</v>
      </c>
      <c r="C15" s="31"/>
      <c r="D15" s="171"/>
      <c r="E15" s="182"/>
      <c r="F15" s="184"/>
    </row>
    <row r="16" spans="1:6" s="80" customFormat="1" ht="90">
      <c r="A16" s="555"/>
      <c r="B16" s="1" t="s">
        <v>1492</v>
      </c>
      <c r="C16" s="31"/>
      <c r="D16" s="171"/>
      <c r="E16" s="182"/>
      <c r="F16" s="184"/>
    </row>
    <row r="17" spans="1:9" s="80" customFormat="1">
      <c r="A17" s="555"/>
      <c r="B17" s="1" t="s">
        <v>611</v>
      </c>
      <c r="C17" s="31"/>
      <c r="D17" s="171"/>
      <c r="E17" s="182"/>
      <c r="F17" s="184"/>
    </row>
    <row r="18" spans="1:9" s="80" customFormat="1">
      <c r="A18" s="555"/>
      <c r="B18" s="1" t="s">
        <v>612</v>
      </c>
      <c r="C18" s="31"/>
      <c r="D18" s="171"/>
      <c r="E18" s="182"/>
      <c r="F18" s="184"/>
    </row>
    <row r="19" spans="1:9" s="80" customFormat="1">
      <c r="A19" s="555"/>
      <c r="B19" s="1" t="s">
        <v>613</v>
      </c>
      <c r="C19" s="31"/>
      <c r="D19" s="171"/>
      <c r="E19" s="182"/>
      <c r="F19" s="184"/>
    </row>
    <row r="20" spans="1:9" s="80" customFormat="1" ht="30">
      <c r="A20" s="555"/>
      <c r="B20" s="1" t="s">
        <v>614</v>
      </c>
      <c r="C20" s="31"/>
      <c r="D20" s="171"/>
      <c r="E20" s="182"/>
      <c r="F20" s="184"/>
    </row>
    <row r="21" spans="1:9" s="80" customFormat="1" ht="30">
      <c r="A21" s="555"/>
      <c r="B21" s="1" t="s">
        <v>615</v>
      </c>
      <c r="C21" s="31"/>
      <c r="D21" s="171"/>
      <c r="E21" s="182"/>
      <c r="F21" s="184"/>
    </row>
    <row r="22" spans="1:9" s="80" customFormat="1" ht="45">
      <c r="A22" s="555"/>
      <c r="B22" s="1" t="s">
        <v>616</v>
      </c>
      <c r="C22" s="31"/>
      <c r="D22" s="171"/>
      <c r="E22" s="182"/>
      <c r="F22" s="184"/>
    </row>
    <row r="23" spans="1:9" s="80" customFormat="1" ht="45">
      <c r="A23" s="555"/>
      <c r="B23" s="1" t="s">
        <v>617</v>
      </c>
      <c r="C23" s="31"/>
      <c r="D23" s="171"/>
      <c r="E23" s="182"/>
      <c r="F23" s="184"/>
    </row>
    <row r="24" spans="1:9" s="80" customFormat="1" ht="60">
      <c r="A24" s="555"/>
      <c r="B24" s="1" t="s">
        <v>1493</v>
      </c>
      <c r="C24" s="31"/>
      <c r="D24" s="171"/>
      <c r="E24" s="182"/>
      <c r="F24" s="184"/>
    </row>
    <row r="25" spans="1:9" s="80" customFormat="1" ht="60">
      <c r="A25" s="555"/>
      <c r="B25" s="1" t="s">
        <v>1494</v>
      </c>
      <c r="C25" s="31"/>
      <c r="D25" s="171"/>
      <c r="E25" s="182"/>
      <c r="F25" s="184"/>
    </row>
    <row r="26" spans="1:9" ht="45">
      <c r="B26" s="1" t="s">
        <v>618</v>
      </c>
      <c r="E26" s="182"/>
    </row>
    <row r="27" spans="1:9">
      <c r="B27" s="1"/>
      <c r="E27" s="182"/>
    </row>
    <row r="28" spans="1:9" s="57" customFormat="1" ht="20.25" customHeight="1">
      <c r="A28" s="133">
        <f>COUNT($A21:A$26)+1</f>
        <v>1</v>
      </c>
      <c r="B28" s="90" t="s">
        <v>619</v>
      </c>
      <c r="C28" s="94"/>
      <c r="D28" s="91"/>
      <c r="E28" s="215"/>
      <c r="F28" s="215"/>
      <c r="G28" s="80"/>
      <c r="I28" s="70"/>
    </row>
    <row r="29" spans="1:9" s="57" customFormat="1" ht="118.5" customHeight="1">
      <c r="A29" s="133"/>
      <c r="B29" s="90" t="s">
        <v>1496</v>
      </c>
      <c r="C29" s="94"/>
      <c r="D29" s="91"/>
      <c r="E29" s="215"/>
      <c r="F29" s="215"/>
      <c r="G29" s="80"/>
      <c r="I29" s="70"/>
    </row>
    <row r="30" spans="1:9" s="57" customFormat="1" ht="45">
      <c r="A30" s="153"/>
      <c r="B30" s="90" t="s">
        <v>595</v>
      </c>
      <c r="C30" s="94"/>
      <c r="D30" s="91"/>
      <c r="E30" s="215"/>
      <c r="F30" s="215"/>
      <c r="G30" s="80"/>
      <c r="I30" s="70"/>
    </row>
    <row r="31" spans="1:9" s="57" customFormat="1" ht="21.75" customHeight="1">
      <c r="A31" s="153"/>
      <c r="B31" s="92" t="s">
        <v>596</v>
      </c>
      <c r="C31" s="93" t="s">
        <v>43</v>
      </c>
      <c r="D31" s="131">
        <v>235</v>
      </c>
      <c r="E31" s="178"/>
      <c r="F31" s="179"/>
      <c r="G31" s="80"/>
      <c r="I31" s="70"/>
    </row>
    <row r="32" spans="1:9" s="57" customFormat="1">
      <c r="A32" s="139"/>
      <c r="B32" s="60"/>
      <c r="C32" s="72"/>
      <c r="D32" s="141"/>
      <c r="E32" s="178"/>
      <c r="F32" s="179"/>
      <c r="I32" s="70"/>
    </row>
    <row r="33" spans="1:9" s="57" customFormat="1" ht="20.25" customHeight="1">
      <c r="A33" s="133">
        <f>COUNT($A$26:A32)+1</f>
        <v>2</v>
      </c>
      <c r="B33" s="90" t="s">
        <v>619</v>
      </c>
      <c r="C33" s="94"/>
      <c r="D33" s="91"/>
      <c r="E33" s="215"/>
      <c r="F33" s="215"/>
      <c r="G33" s="80"/>
      <c r="I33" s="70"/>
    </row>
    <row r="34" spans="1:9" s="57" customFormat="1" ht="118.5" customHeight="1">
      <c r="A34" s="133"/>
      <c r="B34" s="90" t="s">
        <v>1495</v>
      </c>
      <c r="C34" s="94"/>
      <c r="D34" s="91"/>
      <c r="E34" s="215"/>
      <c r="F34" s="215"/>
      <c r="G34" s="80"/>
      <c r="I34" s="70"/>
    </row>
    <row r="35" spans="1:9" s="57" customFormat="1" ht="45">
      <c r="A35" s="153"/>
      <c r="B35" s="90" t="s">
        <v>595</v>
      </c>
      <c r="C35" s="94"/>
      <c r="D35" s="91"/>
      <c r="E35" s="215"/>
      <c r="F35" s="215"/>
      <c r="G35" s="80"/>
      <c r="I35" s="70"/>
    </row>
    <row r="36" spans="1:9" s="57" customFormat="1" ht="21.75" customHeight="1">
      <c r="A36" s="153"/>
      <c r="B36" s="92" t="s">
        <v>596</v>
      </c>
      <c r="C36" s="93" t="s">
        <v>43</v>
      </c>
      <c r="D36" s="131">
        <v>50</v>
      </c>
      <c r="E36" s="178"/>
      <c r="F36" s="179"/>
      <c r="G36" s="80"/>
      <c r="I36" s="70"/>
    </row>
    <row r="37" spans="1:9" s="57" customFormat="1">
      <c r="A37" s="139"/>
      <c r="B37" s="60"/>
      <c r="C37" s="72"/>
      <c r="D37" s="141"/>
      <c r="E37" s="178"/>
      <c r="F37" s="179"/>
      <c r="I37" s="70"/>
    </row>
    <row r="38" spans="1:9" s="57" customFormat="1" ht="27" customHeight="1">
      <c r="A38" s="133">
        <f>COUNT($A$26:A37)+1</f>
        <v>3</v>
      </c>
      <c r="B38" s="57" t="s">
        <v>1517</v>
      </c>
      <c r="C38" s="58"/>
      <c r="D38" s="141"/>
      <c r="E38" s="178"/>
      <c r="F38" s="179"/>
      <c r="I38" s="70"/>
    </row>
    <row r="39" spans="1:9" s="57" customFormat="1" ht="181.5" customHeight="1">
      <c r="A39" s="133"/>
      <c r="B39" s="57" t="s">
        <v>1516</v>
      </c>
      <c r="C39" s="58"/>
      <c r="D39" s="141"/>
      <c r="E39" s="178"/>
      <c r="F39" s="179"/>
      <c r="I39" s="70"/>
    </row>
    <row r="40" spans="1:9" s="57" customFormat="1" ht="30">
      <c r="A40" s="154"/>
      <c r="B40" s="57" t="s">
        <v>603</v>
      </c>
      <c r="C40" s="78"/>
      <c r="D40" s="131"/>
      <c r="E40" s="178"/>
      <c r="F40" s="179"/>
      <c r="I40" s="70"/>
    </row>
    <row r="41" spans="1:9" s="57" customFormat="1">
      <c r="A41" s="154"/>
      <c r="B41" s="57" t="s">
        <v>1513</v>
      </c>
      <c r="C41" s="58" t="s">
        <v>130</v>
      </c>
      <c r="D41" s="155">
        <v>30</v>
      </c>
      <c r="E41" s="216"/>
      <c r="F41" s="179"/>
      <c r="I41" s="70"/>
    </row>
    <row r="42" spans="1:9" s="57" customFormat="1">
      <c r="A42" s="154"/>
      <c r="B42" s="57" t="s">
        <v>1514</v>
      </c>
      <c r="C42" s="58" t="s">
        <v>130</v>
      </c>
      <c r="D42" s="155">
        <v>60</v>
      </c>
      <c r="E42" s="216"/>
      <c r="F42" s="179"/>
      <c r="I42" s="70"/>
    </row>
    <row r="43" spans="1:9" s="57" customFormat="1">
      <c r="A43" s="154"/>
      <c r="B43" s="57" t="s">
        <v>1515</v>
      </c>
      <c r="C43" s="58" t="s">
        <v>18</v>
      </c>
      <c r="D43" s="155">
        <v>16</v>
      </c>
      <c r="E43" s="216"/>
      <c r="F43" s="179"/>
      <c r="I43" s="70"/>
    </row>
    <row r="44" spans="1:9" s="57" customFormat="1">
      <c r="A44" s="139"/>
      <c r="B44" s="60"/>
      <c r="C44" s="72"/>
      <c r="D44" s="141"/>
      <c r="E44" s="178"/>
      <c r="F44" s="179"/>
      <c r="I44" s="70"/>
    </row>
    <row r="45" spans="1:9" s="57" customFormat="1">
      <c r="A45" s="139"/>
      <c r="B45" s="60"/>
      <c r="C45" s="72"/>
      <c r="D45" s="141"/>
      <c r="E45" s="178"/>
      <c r="F45" s="179"/>
      <c r="I45" s="70"/>
    </row>
    <row r="46" spans="1:9" s="57" customFormat="1" ht="30">
      <c r="A46" s="133">
        <f>COUNT($A$26:A40)+1</f>
        <v>4</v>
      </c>
      <c r="B46" s="25" t="s">
        <v>597</v>
      </c>
      <c r="C46" s="72"/>
      <c r="D46" s="141"/>
      <c r="E46" s="178"/>
      <c r="F46" s="179"/>
      <c r="I46" s="70"/>
    </row>
    <row r="47" spans="1:9" s="57" customFormat="1" ht="315">
      <c r="A47" s="156"/>
      <c r="B47" s="1" t="s">
        <v>1497</v>
      </c>
      <c r="C47" s="72"/>
      <c r="D47" s="141"/>
      <c r="E47" s="178"/>
      <c r="F47" s="179"/>
      <c r="I47" s="70"/>
    </row>
    <row r="48" spans="1:9" s="57" customFormat="1">
      <c r="A48" s="154" t="s">
        <v>16</v>
      </c>
      <c r="B48" s="24" t="s">
        <v>1498</v>
      </c>
      <c r="C48" s="58" t="s">
        <v>130</v>
      </c>
      <c r="D48" s="155">
        <v>120</v>
      </c>
      <c r="E48" s="216"/>
      <c r="F48" s="179"/>
      <c r="I48" s="70"/>
    </row>
    <row r="49" spans="1:9" s="57" customFormat="1">
      <c r="A49" s="154" t="s">
        <v>17</v>
      </c>
      <c r="B49" s="1" t="s">
        <v>1499</v>
      </c>
      <c r="C49" s="58" t="s">
        <v>130</v>
      </c>
      <c r="D49" s="155">
        <v>120</v>
      </c>
      <c r="E49" s="216"/>
      <c r="F49" s="179"/>
      <c r="I49" s="70"/>
    </row>
    <row r="50" spans="1:9" s="57" customFormat="1">
      <c r="A50" s="157" t="s">
        <v>112</v>
      </c>
      <c r="B50" s="24" t="s">
        <v>1500</v>
      </c>
      <c r="C50" s="58" t="s">
        <v>130</v>
      </c>
      <c r="D50" s="155">
        <v>50</v>
      </c>
      <c r="E50" s="216"/>
      <c r="F50" s="179"/>
      <c r="I50" s="70"/>
    </row>
    <row r="51" spans="1:9" s="57" customFormat="1">
      <c r="A51" s="157" t="s">
        <v>114</v>
      </c>
      <c r="B51" s="24" t="s">
        <v>1501</v>
      </c>
      <c r="C51" s="58" t="s">
        <v>130</v>
      </c>
      <c r="D51" s="155">
        <v>150</v>
      </c>
      <c r="E51" s="216"/>
      <c r="F51" s="179"/>
      <c r="I51" s="70"/>
    </row>
    <row r="52" spans="1:9" s="57" customFormat="1">
      <c r="A52" s="157" t="s">
        <v>116</v>
      </c>
      <c r="B52" s="24" t="s">
        <v>1503</v>
      </c>
      <c r="C52" s="58" t="s">
        <v>130</v>
      </c>
      <c r="D52" s="155">
        <v>30</v>
      </c>
      <c r="E52" s="216"/>
      <c r="F52" s="179"/>
      <c r="I52" s="70"/>
    </row>
    <row r="53" spans="1:9" s="57" customFormat="1">
      <c r="A53" s="157" t="s">
        <v>1502</v>
      </c>
      <c r="B53" s="24" t="s">
        <v>1504</v>
      </c>
      <c r="C53" s="58" t="s">
        <v>130</v>
      </c>
      <c r="D53" s="155">
        <v>10</v>
      </c>
      <c r="E53" s="216"/>
      <c r="F53" s="179"/>
      <c r="I53" s="70"/>
    </row>
    <row r="54" spans="1:9" s="57" customFormat="1">
      <c r="A54" s="139"/>
      <c r="B54" s="60"/>
      <c r="C54" s="72"/>
      <c r="D54" s="141"/>
      <c r="E54" s="178"/>
      <c r="F54" s="179"/>
      <c r="I54" s="70"/>
    </row>
    <row r="55" spans="1:9" s="57" customFormat="1" ht="30">
      <c r="A55" s="133">
        <f>COUNT($A$26:A52)+1</f>
        <v>5</v>
      </c>
      <c r="B55" s="25" t="s">
        <v>1505</v>
      </c>
      <c r="C55" s="72"/>
      <c r="D55" s="141"/>
      <c r="E55" s="178"/>
      <c r="F55" s="179"/>
      <c r="I55" s="70"/>
    </row>
    <row r="56" spans="1:9" s="57" customFormat="1" ht="270">
      <c r="A56" s="156"/>
      <c r="B56" s="1" t="s">
        <v>1506</v>
      </c>
      <c r="C56" s="72"/>
      <c r="D56" s="141"/>
      <c r="E56" s="178"/>
      <c r="F56" s="179"/>
      <c r="I56" s="70"/>
    </row>
    <row r="57" spans="1:9" s="57" customFormat="1">
      <c r="A57" s="154"/>
      <c r="B57" s="1" t="s">
        <v>620</v>
      </c>
      <c r="C57" s="78"/>
      <c r="D57" s="131"/>
      <c r="E57" s="178"/>
      <c r="F57" s="179"/>
      <c r="I57" s="70"/>
    </row>
    <row r="58" spans="1:9" s="57" customFormat="1">
      <c r="A58" s="154"/>
      <c r="B58" s="24" t="s">
        <v>1508</v>
      </c>
      <c r="C58" s="58" t="s">
        <v>130</v>
      </c>
      <c r="D58" s="155">
        <v>20</v>
      </c>
      <c r="E58" s="216"/>
      <c r="F58" s="179"/>
      <c r="I58" s="70"/>
    </row>
    <row r="59" spans="1:9" s="57" customFormat="1">
      <c r="A59" s="154"/>
      <c r="B59" s="1" t="s">
        <v>1507</v>
      </c>
      <c r="C59" s="58" t="s">
        <v>130</v>
      </c>
      <c r="D59" s="155">
        <v>20</v>
      </c>
      <c r="E59" s="216"/>
      <c r="F59" s="179"/>
      <c r="I59" s="70"/>
    </row>
    <row r="60" spans="1:9" s="57" customFormat="1">
      <c r="A60" s="154"/>
      <c r="B60" s="24"/>
      <c r="C60" s="58"/>
      <c r="D60" s="155"/>
      <c r="E60" s="216"/>
      <c r="F60" s="179"/>
      <c r="I60" s="70"/>
    </row>
    <row r="61" spans="1:9" s="57" customFormat="1" ht="60">
      <c r="A61" s="133">
        <f>COUNT($A$26:A54)+1</f>
        <v>5</v>
      </c>
      <c r="B61" s="60" t="s">
        <v>1509</v>
      </c>
      <c r="C61" s="72"/>
      <c r="D61" s="141"/>
      <c r="E61" s="178"/>
      <c r="F61" s="179"/>
      <c r="I61" s="70"/>
    </row>
    <row r="62" spans="1:9" s="57" customFormat="1" ht="60">
      <c r="A62" s="139"/>
      <c r="B62" s="60" t="s">
        <v>598</v>
      </c>
      <c r="C62" s="58" t="s">
        <v>130</v>
      </c>
      <c r="D62" s="155">
        <v>15</v>
      </c>
      <c r="E62" s="216"/>
      <c r="F62" s="179"/>
      <c r="I62" s="70"/>
    </row>
    <row r="63" spans="1:9" s="57" customFormat="1">
      <c r="A63" s="154"/>
      <c r="B63" s="1"/>
      <c r="C63" s="58"/>
      <c r="D63" s="155"/>
      <c r="E63" s="216"/>
      <c r="F63" s="179"/>
      <c r="I63" s="70"/>
    </row>
    <row r="64" spans="1:9" s="57" customFormat="1">
      <c r="A64" s="139"/>
      <c r="B64" s="60"/>
      <c r="C64" s="72"/>
      <c r="D64" s="141"/>
      <c r="E64" s="178"/>
      <c r="F64" s="179"/>
      <c r="I64" s="70"/>
    </row>
    <row r="65" spans="1:9" s="57" customFormat="1">
      <c r="A65" s="139"/>
      <c r="B65" s="60"/>
      <c r="C65" s="72"/>
      <c r="D65" s="141"/>
      <c r="E65" s="178"/>
      <c r="F65" s="179"/>
      <c r="I65" s="70"/>
    </row>
    <row r="66" spans="1:9" s="57" customFormat="1" ht="60">
      <c r="A66" s="133">
        <f>COUNT($A$26:A59)+1</f>
        <v>6</v>
      </c>
      <c r="B66" s="60" t="s">
        <v>1510</v>
      </c>
      <c r="C66" s="72"/>
      <c r="D66" s="141"/>
      <c r="E66" s="178"/>
      <c r="F66" s="179"/>
      <c r="I66" s="70"/>
    </row>
    <row r="67" spans="1:9" s="57" customFormat="1" ht="60">
      <c r="A67" s="139"/>
      <c r="B67" s="60" t="s">
        <v>598</v>
      </c>
      <c r="C67" s="58" t="s">
        <v>130</v>
      </c>
      <c r="D67" s="155">
        <v>40</v>
      </c>
      <c r="E67" s="216"/>
      <c r="F67" s="179"/>
      <c r="I67" s="70"/>
    </row>
    <row r="68" spans="1:9" s="57" customFormat="1">
      <c r="A68" s="139"/>
      <c r="B68" s="60"/>
      <c r="C68" s="72"/>
      <c r="D68" s="141"/>
      <c r="E68" s="178"/>
      <c r="F68" s="179"/>
      <c r="I68" s="70"/>
    </row>
    <row r="69" spans="1:9" s="57" customFormat="1">
      <c r="A69" s="139"/>
      <c r="B69" s="60"/>
      <c r="C69" s="72"/>
      <c r="D69" s="141"/>
      <c r="E69" s="178"/>
      <c r="F69" s="179"/>
      <c r="I69" s="70"/>
    </row>
    <row r="70" spans="1:9" s="57" customFormat="1" ht="60">
      <c r="A70" s="133">
        <f>COUNT($A$26:A68)+1</f>
        <v>8</v>
      </c>
      <c r="B70" s="60" t="s">
        <v>1511</v>
      </c>
      <c r="C70" s="72"/>
      <c r="D70" s="141"/>
      <c r="E70" s="178"/>
      <c r="F70" s="179"/>
      <c r="I70" s="70"/>
    </row>
    <row r="71" spans="1:9" s="57" customFormat="1" ht="60">
      <c r="A71" s="139"/>
      <c r="B71" s="60" t="s">
        <v>598</v>
      </c>
      <c r="C71" s="58" t="s">
        <v>130</v>
      </c>
      <c r="D71" s="155">
        <v>8</v>
      </c>
      <c r="E71" s="216"/>
      <c r="F71" s="179"/>
      <c r="I71" s="70"/>
    </row>
    <row r="72" spans="1:9" s="57" customFormat="1">
      <c r="A72" s="139"/>
      <c r="B72" s="60"/>
      <c r="C72" s="72"/>
      <c r="D72" s="141"/>
      <c r="E72" s="178"/>
      <c r="F72" s="179"/>
      <c r="I72" s="70"/>
    </row>
    <row r="73" spans="1:9" s="57" customFormat="1">
      <c r="A73" s="139"/>
      <c r="B73" s="60"/>
      <c r="C73" s="72"/>
      <c r="D73" s="141"/>
      <c r="E73" s="178"/>
      <c r="F73" s="179"/>
      <c r="I73" s="70"/>
    </row>
    <row r="74" spans="1:9" s="57" customFormat="1">
      <c r="A74" s="139"/>
      <c r="B74" s="60"/>
      <c r="C74" s="72"/>
      <c r="D74" s="141"/>
      <c r="E74" s="178"/>
      <c r="F74" s="179"/>
      <c r="I74" s="70"/>
    </row>
    <row r="75" spans="1:9" s="57" customFormat="1" ht="30">
      <c r="A75" s="133">
        <f>COUNT($A$26:A73)+1</f>
        <v>9</v>
      </c>
      <c r="B75" s="1" t="s">
        <v>600</v>
      </c>
      <c r="C75" s="58"/>
      <c r="D75" s="130"/>
      <c r="E75" s="179"/>
      <c r="F75" s="179"/>
      <c r="I75" s="70"/>
    </row>
    <row r="76" spans="1:9" s="57" customFormat="1" ht="45">
      <c r="A76" s="134"/>
      <c r="B76" s="1" t="s">
        <v>1512</v>
      </c>
      <c r="C76" s="58"/>
      <c r="D76" s="130"/>
      <c r="E76" s="179"/>
      <c r="F76" s="179"/>
      <c r="I76" s="70"/>
    </row>
    <row r="77" spans="1:9" s="57" customFormat="1" ht="60">
      <c r="A77" s="134"/>
      <c r="B77" s="1" t="s">
        <v>621</v>
      </c>
      <c r="C77" s="58"/>
      <c r="D77" s="130"/>
      <c r="E77" s="179"/>
      <c r="F77" s="179"/>
      <c r="I77" s="70"/>
    </row>
    <row r="78" spans="1:9" s="57" customFormat="1" ht="30">
      <c r="A78" s="134"/>
      <c r="B78" s="1" t="s">
        <v>622</v>
      </c>
      <c r="C78" s="58"/>
      <c r="D78" s="130"/>
      <c r="E78" s="179"/>
      <c r="F78" s="179"/>
      <c r="I78" s="70"/>
    </row>
    <row r="79" spans="1:9" s="57" customFormat="1">
      <c r="A79" s="134"/>
      <c r="B79" s="1"/>
      <c r="C79" s="58"/>
      <c r="D79" s="130"/>
      <c r="E79" s="179"/>
      <c r="F79" s="179"/>
      <c r="I79" s="70"/>
    </row>
    <row r="80" spans="1:9" s="57" customFormat="1" ht="30">
      <c r="A80" s="134"/>
      <c r="B80" s="1" t="s">
        <v>623</v>
      </c>
      <c r="C80" s="58" t="s">
        <v>11</v>
      </c>
      <c r="D80" s="130">
        <v>1300</v>
      </c>
      <c r="E80" s="179"/>
      <c r="F80" s="179"/>
      <c r="I80" s="70"/>
    </row>
    <row r="81" spans="1:9" s="57" customFormat="1">
      <c r="A81" s="139"/>
      <c r="B81" s="60"/>
      <c r="C81" s="72"/>
      <c r="D81" s="141"/>
      <c r="E81" s="178"/>
      <c r="F81" s="179"/>
      <c r="I81" s="70"/>
    </row>
    <row r="82" spans="1:9" s="57" customFormat="1">
      <c r="A82" s="139"/>
      <c r="B82" s="60"/>
      <c r="C82" s="72"/>
      <c r="D82" s="141"/>
      <c r="E82" s="178"/>
      <c r="F82" s="179"/>
      <c r="I82" s="70"/>
    </row>
    <row r="83" spans="1:9" s="57" customFormat="1" ht="45">
      <c r="A83" s="133">
        <f>COUNT($A$26:A81)+1</f>
        <v>10</v>
      </c>
      <c r="B83" s="57" t="s">
        <v>601</v>
      </c>
      <c r="C83" s="72"/>
      <c r="D83" s="141"/>
      <c r="E83" s="178"/>
      <c r="F83" s="179"/>
      <c r="I83" s="70"/>
    </row>
    <row r="84" spans="1:9" s="57" customFormat="1" ht="45">
      <c r="A84" s="139"/>
      <c r="B84" s="57" t="s">
        <v>602</v>
      </c>
      <c r="C84" s="72"/>
      <c r="D84" s="141"/>
      <c r="E84" s="178"/>
      <c r="F84" s="179"/>
      <c r="I84" s="70"/>
    </row>
    <row r="85" spans="1:9" s="57" customFormat="1" ht="60">
      <c r="A85" s="139"/>
      <c r="B85" s="57" t="s">
        <v>599</v>
      </c>
      <c r="C85" s="78"/>
      <c r="D85" s="131"/>
      <c r="E85" s="178"/>
      <c r="F85" s="179"/>
      <c r="I85" s="70"/>
    </row>
    <row r="86" spans="1:9" s="57" customFormat="1">
      <c r="A86" s="139"/>
      <c r="B86" s="60" t="s">
        <v>624</v>
      </c>
      <c r="C86" s="58" t="s">
        <v>130</v>
      </c>
      <c r="D86" s="130">
        <v>50</v>
      </c>
      <c r="E86" s="179"/>
      <c r="F86" s="179"/>
      <c r="I86" s="70"/>
    </row>
    <row r="87" spans="1:9" s="57" customFormat="1">
      <c r="A87" s="139"/>
      <c r="B87" s="60" t="s">
        <v>625</v>
      </c>
      <c r="C87" s="58" t="s">
        <v>130</v>
      </c>
      <c r="D87" s="141">
        <v>50</v>
      </c>
      <c r="E87" s="217"/>
      <c r="F87" s="179"/>
      <c r="I87" s="70"/>
    </row>
    <row r="88" spans="1:9" s="57" customFormat="1">
      <c r="A88" s="139"/>
      <c r="B88" s="60" t="s">
        <v>626</v>
      </c>
      <c r="C88" s="58" t="s">
        <v>130</v>
      </c>
      <c r="D88" s="141">
        <v>50</v>
      </c>
      <c r="E88" s="217"/>
      <c r="F88" s="179"/>
      <c r="I88" s="70"/>
    </row>
    <row r="89" spans="1:9" s="57" customFormat="1">
      <c r="A89" s="139"/>
      <c r="B89" s="60" t="s">
        <v>627</v>
      </c>
      <c r="C89" s="58" t="s">
        <v>130</v>
      </c>
      <c r="D89" s="141">
        <v>50</v>
      </c>
      <c r="E89" s="217"/>
      <c r="F89" s="179"/>
      <c r="I89" s="70"/>
    </row>
    <row r="90" spans="1:9" s="57" customFormat="1">
      <c r="A90" s="139"/>
      <c r="B90" s="60" t="s">
        <v>628</v>
      </c>
      <c r="C90" s="58" t="s">
        <v>130</v>
      </c>
      <c r="D90" s="141">
        <v>50</v>
      </c>
      <c r="E90" s="217"/>
      <c r="F90" s="179"/>
      <c r="I90" s="70"/>
    </row>
    <row r="91" spans="1:9" s="57" customFormat="1">
      <c r="A91" s="139"/>
      <c r="B91" s="60" t="s">
        <v>629</v>
      </c>
      <c r="C91" s="58" t="s">
        <v>130</v>
      </c>
      <c r="D91" s="141">
        <v>50</v>
      </c>
      <c r="E91" s="217"/>
      <c r="F91" s="179"/>
      <c r="I91" s="70"/>
    </row>
    <row r="92" spans="1:9" s="57" customFormat="1">
      <c r="A92" s="139"/>
      <c r="B92" s="60"/>
      <c r="C92" s="58"/>
      <c r="D92" s="141"/>
      <c r="E92" s="217"/>
      <c r="F92" s="179"/>
      <c r="I92" s="70"/>
    </row>
    <row r="93" spans="1:9" s="57" customFormat="1">
      <c r="A93" s="139"/>
      <c r="B93" s="60"/>
      <c r="C93" s="58"/>
      <c r="D93" s="141"/>
      <c r="E93" s="217"/>
      <c r="F93" s="179"/>
      <c r="I93" s="70"/>
    </row>
    <row r="94" spans="1:9" s="57" customFormat="1">
      <c r="A94" s="139"/>
      <c r="B94" s="60"/>
      <c r="C94" s="58"/>
      <c r="D94" s="141"/>
      <c r="E94" s="217"/>
      <c r="F94" s="179"/>
      <c r="I94" s="70"/>
    </row>
    <row r="95" spans="1:9" s="57" customFormat="1">
      <c r="A95" s="139"/>
      <c r="C95" s="72"/>
      <c r="D95" s="141"/>
      <c r="E95" s="178"/>
      <c r="F95" s="178"/>
      <c r="I95" s="70"/>
    </row>
    <row r="96" spans="1:9">
      <c r="B96" s="1"/>
      <c r="E96" s="182"/>
    </row>
    <row r="97" spans="1:6">
      <c r="A97" s="172" t="s">
        <v>687</v>
      </c>
      <c r="B97" s="173" t="s">
        <v>226</v>
      </c>
      <c r="C97" s="174"/>
      <c r="D97" s="175"/>
      <c r="E97" s="192"/>
      <c r="F97" s="193"/>
    </row>
    <row r="100" spans="1:6">
      <c r="B100" s="1"/>
    </row>
    <row r="101" spans="1:6">
      <c r="B101" s="1"/>
    </row>
    <row r="102" spans="1:6">
      <c r="B102" s="1"/>
    </row>
  </sheetData>
  <pageMargins left="0.7" right="0.7" top="0.78749999999999998"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24.xml><?xml version="1.0" encoding="utf-8"?>
<worksheet xmlns="http://schemas.openxmlformats.org/spreadsheetml/2006/main" xmlns:r="http://schemas.openxmlformats.org/officeDocument/2006/relationships">
  <sheetPr>
    <tabColor rgb="FF0070C0"/>
  </sheetPr>
  <dimension ref="A1:K584"/>
  <sheetViews>
    <sheetView showZeros="0" view="pageBreakPreview" zoomScale="110" zoomScaleNormal="100" zoomScaleSheetLayoutView="110" workbookViewId="0">
      <selection activeCell="E2" sqref="E2:G245"/>
    </sheetView>
  </sheetViews>
  <sheetFormatPr defaultColWidth="8.85546875" defaultRowHeight="15"/>
  <cols>
    <col min="1" max="1" width="8.7109375" style="17" customWidth="1"/>
    <col min="2" max="2" width="45" style="1" customWidth="1"/>
    <col min="3" max="3" width="8.5703125" style="29" customWidth="1"/>
    <col min="4" max="4" width="10.7109375" style="40" customWidth="1"/>
    <col min="5" max="5" width="13.7109375" style="183" customWidth="1"/>
    <col min="6" max="6" width="16.7109375" style="183" customWidth="1"/>
    <col min="7" max="14" width="8.85546875" style="2"/>
    <col min="15" max="15" width="9" style="2" bestFit="1" customWidth="1"/>
    <col min="16" max="16" width="9.42578125" style="2" bestFit="1" customWidth="1"/>
    <col min="17" max="17" width="12.85546875" style="2" bestFit="1" customWidth="1"/>
    <col min="18" max="16384" width="8.85546875" style="2"/>
  </cols>
  <sheetData>
    <row r="1" spans="1:11">
      <c r="A1" s="107" t="s">
        <v>260</v>
      </c>
      <c r="B1" s="107" t="s">
        <v>261</v>
      </c>
      <c r="C1" s="64" t="s">
        <v>262</v>
      </c>
      <c r="D1" s="109" t="s">
        <v>263</v>
      </c>
      <c r="E1" s="186" t="s">
        <v>264</v>
      </c>
      <c r="F1" s="187" t="s">
        <v>265</v>
      </c>
    </row>
    <row r="3" spans="1:11">
      <c r="A3" s="17" t="s">
        <v>277</v>
      </c>
      <c r="B3" s="25" t="s">
        <v>690</v>
      </c>
      <c r="E3" s="182"/>
    </row>
    <row r="4" spans="1:11">
      <c r="A4" s="23"/>
      <c r="E4" s="182"/>
    </row>
    <row r="5" spans="1:11">
      <c r="A5" s="23"/>
      <c r="B5" s="24"/>
      <c r="E5" s="182"/>
    </row>
    <row r="6" spans="1:11">
      <c r="A6" s="23"/>
      <c r="B6" s="1" t="s">
        <v>266</v>
      </c>
      <c r="E6" s="182"/>
    </row>
    <row r="7" spans="1:11" ht="255">
      <c r="A7" s="23"/>
      <c r="B7" s="1" t="s">
        <v>1683</v>
      </c>
      <c r="E7" s="182"/>
      <c r="K7" s="1"/>
    </row>
    <row r="8" spans="1:11" ht="165">
      <c r="A8" s="23"/>
      <c r="B8" s="1" t="s">
        <v>1684</v>
      </c>
      <c r="E8" s="182"/>
    </row>
    <row r="9" spans="1:11" ht="105">
      <c r="A9" s="23"/>
      <c r="B9" s="1" t="s">
        <v>1685</v>
      </c>
      <c r="E9" s="182"/>
    </row>
    <row r="10" spans="1:11">
      <c r="A10" s="23"/>
      <c r="E10" s="182"/>
    </row>
    <row r="11" spans="1:11">
      <c r="A11" s="23"/>
      <c r="E11" s="182"/>
    </row>
    <row r="12" spans="1:11">
      <c r="A12" s="23">
        <f>COUNT($A$6:A9)+1</f>
        <v>1</v>
      </c>
      <c r="B12" s="1" t="s">
        <v>87</v>
      </c>
      <c r="E12" s="182"/>
    </row>
    <row r="13" spans="1:11" ht="45">
      <c r="A13" s="23"/>
      <c r="B13" s="1" t="s">
        <v>88</v>
      </c>
      <c r="E13" s="182"/>
    </row>
    <row r="14" spans="1:11" ht="30">
      <c r="A14" s="23"/>
      <c r="B14" s="1" t="s">
        <v>1689</v>
      </c>
      <c r="E14" s="182"/>
    </row>
    <row r="15" spans="1:11">
      <c r="A15" s="23"/>
      <c r="B15" s="1" t="s">
        <v>1688</v>
      </c>
      <c r="C15" s="29" t="s">
        <v>130</v>
      </c>
      <c r="D15" s="40">
        <v>150</v>
      </c>
      <c r="E15" s="182"/>
    </row>
    <row r="16" spans="1:11" ht="75">
      <c r="A16" s="23"/>
      <c r="B16" s="1" t="s">
        <v>1690</v>
      </c>
      <c r="C16" s="29" t="s">
        <v>11</v>
      </c>
      <c r="D16" s="40">
        <v>200</v>
      </c>
      <c r="E16" s="182"/>
    </row>
    <row r="17" spans="1:6">
      <c r="A17" s="23"/>
      <c r="E17" s="182"/>
    </row>
    <row r="18" spans="1:6" ht="75">
      <c r="A18" s="23">
        <f>COUNT($A$6:A17)+1</f>
        <v>2</v>
      </c>
      <c r="B18" s="259" t="s">
        <v>1692</v>
      </c>
      <c r="C18" s="29" t="s">
        <v>1691</v>
      </c>
      <c r="D18" s="40">
        <v>1</v>
      </c>
      <c r="E18" s="182"/>
    </row>
    <row r="19" spans="1:6">
      <c r="A19" s="23"/>
      <c r="C19" s="2"/>
      <c r="D19" s="2"/>
      <c r="E19" s="2"/>
      <c r="F19" s="2"/>
    </row>
    <row r="20" spans="1:6" ht="60">
      <c r="A20" s="23">
        <f>COUNT($A$6:A19)+1</f>
        <v>3</v>
      </c>
      <c r="B20" s="259" t="s">
        <v>1693</v>
      </c>
      <c r="C20" s="29" t="s">
        <v>1691</v>
      </c>
      <c r="D20" s="40">
        <v>1</v>
      </c>
      <c r="E20" s="182"/>
    </row>
    <row r="21" spans="1:6">
      <c r="A21" s="23"/>
      <c r="B21" s="2"/>
      <c r="E21" s="182"/>
    </row>
    <row r="22" spans="1:6" ht="30">
      <c r="A22" s="23">
        <f>COUNT($A$6:A19)+1</f>
        <v>3</v>
      </c>
      <c r="B22" s="1" t="s">
        <v>1686</v>
      </c>
      <c r="E22" s="182"/>
    </row>
    <row r="23" spans="1:6">
      <c r="A23" s="23"/>
      <c r="B23" s="1" t="s">
        <v>1687</v>
      </c>
      <c r="C23" s="29" t="s">
        <v>11</v>
      </c>
      <c r="D23" s="40">
        <v>200</v>
      </c>
      <c r="E23" s="182"/>
    </row>
    <row r="24" spans="1:6">
      <c r="A24" s="23"/>
      <c r="E24" s="182"/>
    </row>
    <row r="25" spans="1:6" ht="30">
      <c r="A25" s="23">
        <f>COUNT($A$6:A22)+1</f>
        <v>5</v>
      </c>
      <c r="B25" s="259" t="s">
        <v>1694</v>
      </c>
      <c r="E25" s="182"/>
    </row>
    <row r="26" spans="1:6">
      <c r="A26" s="23"/>
      <c r="B26" s="1" t="s">
        <v>1687</v>
      </c>
      <c r="C26" s="29" t="s">
        <v>11</v>
      </c>
      <c r="D26" s="40">
        <v>60</v>
      </c>
      <c r="E26" s="182"/>
    </row>
    <row r="27" spans="1:6">
      <c r="A27" s="23"/>
      <c r="E27" s="182"/>
    </row>
    <row r="28" spans="1:6" ht="30">
      <c r="A28" s="23">
        <f>COUNT($A$6:A25)+1</f>
        <v>6</v>
      </c>
      <c r="B28" s="259" t="s">
        <v>1695</v>
      </c>
      <c r="E28" s="182"/>
    </row>
    <row r="29" spans="1:6">
      <c r="A29" s="23"/>
      <c r="B29" s="1" t="s">
        <v>1687</v>
      </c>
      <c r="C29" s="29" t="s">
        <v>11</v>
      </c>
      <c r="D29" s="40">
        <v>20</v>
      </c>
      <c r="E29" s="182"/>
    </row>
    <row r="30" spans="1:6">
      <c r="A30" s="23"/>
      <c r="E30" s="182"/>
    </row>
    <row r="31" spans="1:6" ht="30">
      <c r="A31" s="23">
        <f>COUNT($A$6:A24)+1</f>
        <v>5</v>
      </c>
      <c r="B31" s="259" t="s">
        <v>1696</v>
      </c>
      <c r="E31" s="182"/>
    </row>
    <row r="32" spans="1:6">
      <c r="A32" s="23"/>
      <c r="B32" s="1" t="s">
        <v>1687</v>
      </c>
      <c r="C32" s="29" t="s">
        <v>11</v>
      </c>
      <c r="D32" s="40">
        <v>2</v>
      </c>
      <c r="E32" s="182"/>
    </row>
    <row r="33" spans="1:5">
      <c r="A33" s="23"/>
      <c r="E33" s="182"/>
    </row>
    <row r="34" spans="1:5" ht="45">
      <c r="A34" s="23">
        <f>COUNT($A$6:A27)+1</f>
        <v>6</v>
      </c>
      <c r="B34" s="259" t="s">
        <v>1697</v>
      </c>
      <c r="E34" s="182"/>
    </row>
    <row r="35" spans="1:5">
      <c r="A35" s="23"/>
      <c r="B35" s="1" t="s">
        <v>241</v>
      </c>
      <c r="C35" s="29" t="s">
        <v>9</v>
      </c>
      <c r="D35" s="40">
        <v>75</v>
      </c>
      <c r="E35" s="182"/>
    </row>
    <row r="36" spans="1:5">
      <c r="A36" s="23"/>
      <c r="E36" s="182"/>
    </row>
    <row r="37" spans="1:5" ht="30">
      <c r="A37" s="23">
        <f>COUNT($A$6:A30)+1</f>
        <v>7</v>
      </c>
      <c r="B37" s="259" t="s">
        <v>1698</v>
      </c>
      <c r="E37" s="182"/>
    </row>
    <row r="38" spans="1:5">
      <c r="A38" s="23"/>
      <c r="B38" s="1" t="s">
        <v>225</v>
      </c>
      <c r="C38" s="29" t="s">
        <v>130</v>
      </c>
      <c r="D38" s="40">
        <v>60</v>
      </c>
      <c r="E38" s="182"/>
    </row>
    <row r="39" spans="1:5">
      <c r="A39" s="23"/>
      <c r="E39" s="182"/>
    </row>
    <row r="40" spans="1:5" ht="60">
      <c r="A40" s="23">
        <f>COUNT($A$6:A33)+1</f>
        <v>8</v>
      </c>
      <c r="B40" s="259" t="s">
        <v>1699</v>
      </c>
      <c r="E40" s="182"/>
    </row>
    <row r="41" spans="1:5">
      <c r="A41" s="23"/>
      <c r="B41" s="1" t="s">
        <v>225</v>
      </c>
      <c r="C41" s="29" t="s">
        <v>11</v>
      </c>
      <c r="D41" s="40">
        <v>700</v>
      </c>
      <c r="E41" s="182"/>
    </row>
    <row r="42" spans="1:5">
      <c r="A42" s="23"/>
      <c r="E42" s="182"/>
    </row>
    <row r="43" spans="1:5" ht="60">
      <c r="A43" s="23">
        <f>COUNT($A$6:A36)+1</f>
        <v>9</v>
      </c>
      <c r="B43" s="259" t="s">
        <v>1700</v>
      </c>
      <c r="E43" s="182"/>
    </row>
    <row r="44" spans="1:5">
      <c r="A44" s="23"/>
      <c r="B44" s="1" t="s">
        <v>140</v>
      </c>
      <c r="C44" s="29" t="s">
        <v>11</v>
      </c>
      <c r="D44" s="40">
        <v>350</v>
      </c>
      <c r="E44" s="182"/>
    </row>
    <row r="45" spans="1:5">
      <c r="A45" s="23"/>
      <c r="E45" s="182"/>
    </row>
    <row r="46" spans="1:5" ht="60">
      <c r="A46" s="23">
        <f>COUNT($A$6:A39)+1</f>
        <v>10</v>
      </c>
      <c r="B46" s="259" t="s">
        <v>1702</v>
      </c>
      <c r="E46" s="182"/>
    </row>
    <row r="47" spans="1:5">
      <c r="A47" s="23"/>
      <c r="B47" s="1" t="s">
        <v>140</v>
      </c>
      <c r="C47" s="29" t="s">
        <v>11</v>
      </c>
      <c r="D47" s="40">
        <v>200</v>
      </c>
      <c r="E47" s="182"/>
    </row>
    <row r="48" spans="1:5">
      <c r="A48" s="23"/>
      <c r="E48" s="182"/>
    </row>
    <row r="49" spans="1:6" ht="60">
      <c r="A49" s="23">
        <f>COUNT($A$6:A42)+1</f>
        <v>11</v>
      </c>
      <c r="B49" s="259" t="s">
        <v>1701</v>
      </c>
      <c r="E49" s="182"/>
    </row>
    <row r="50" spans="1:6">
      <c r="A50" s="23"/>
      <c r="B50" s="1" t="s">
        <v>140</v>
      </c>
      <c r="C50" s="29" t="s">
        <v>11</v>
      </c>
      <c r="D50" s="40">
        <v>200</v>
      </c>
      <c r="E50" s="182"/>
    </row>
    <row r="51" spans="1:6">
      <c r="A51" s="23"/>
      <c r="E51" s="182"/>
    </row>
    <row r="52" spans="1:6" ht="75">
      <c r="A52" s="23">
        <f>COUNT($A$6:A45)+1</f>
        <v>12</v>
      </c>
      <c r="B52" s="259" t="s">
        <v>1703</v>
      </c>
      <c r="E52" s="182"/>
    </row>
    <row r="53" spans="1:6">
      <c r="A53" s="23"/>
      <c r="B53" s="1" t="s">
        <v>1704</v>
      </c>
      <c r="C53" s="29" t="s">
        <v>18</v>
      </c>
      <c r="D53" s="40">
        <v>2</v>
      </c>
      <c r="E53" s="182"/>
    </row>
    <row r="54" spans="1:6">
      <c r="A54" s="23"/>
      <c r="E54" s="182"/>
    </row>
    <row r="55" spans="1:6" ht="60">
      <c r="A55" s="23">
        <f>COUNT($A$6:A48)+1</f>
        <v>13</v>
      </c>
      <c r="B55" s="259" t="s">
        <v>1705</v>
      </c>
      <c r="E55" s="182"/>
    </row>
    <row r="56" spans="1:6">
      <c r="A56" s="23"/>
      <c r="B56" s="1" t="s">
        <v>1706</v>
      </c>
      <c r="C56" s="2"/>
      <c r="D56" s="2"/>
      <c r="E56" s="2"/>
      <c r="F56" s="2"/>
    </row>
    <row r="57" spans="1:6">
      <c r="A57" s="23"/>
      <c r="B57" s="1" t="s">
        <v>405</v>
      </c>
      <c r="C57" s="29" t="s">
        <v>9</v>
      </c>
      <c r="D57" s="40">
        <f>50*0.15</f>
        <v>7.5</v>
      </c>
      <c r="E57" s="182"/>
    </row>
    <row r="58" spans="1:6">
      <c r="A58" s="23"/>
      <c r="B58" s="1" t="s">
        <v>1707</v>
      </c>
      <c r="C58" s="29" t="s">
        <v>21</v>
      </c>
      <c r="D58" s="40">
        <v>600</v>
      </c>
      <c r="E58" s="182"/>
    </row>
    <row r="59" spans="1:6">
      <c r="A59" s="23"/>
      <c r="B59" s="1" t="s">
        <v>1708</v>
      </c>
      <c r="C59" s="29" t="s">
        <v>21</v>
      </c>
      <c r="D59" s="40">
        <v>150</v>
      </c>
      <c r="E59" s="182"/>
    </row>
    <row r="60" spans="1:6">
      <c r="A60" s="23"/>
      <c r="E60" s="182"/>
    </row>
    <row r="61" spans="1:6">
      <c r="A61" s="23">
        <f>COUNT($A$6:A58)+1</f>
        <v>16</v>
      </c>
      <c r="B61" s="1" t="s">
        <v>1709</v>
      </c>
      <c r="E61" s="182"/>
    </row>
    <row r="62" spans="1:6" ht="75">
      <c r="A62" s="23"/>
      <c r="B62" s="1" t="s">
        <v>691</v>
      </c>
      <c r="E62" s="182"/>
    </row>
    <row r="63" spans="1:6">
      <c r="A63" s="23"/>
      <c r="B63" s="1" t="s">
        <v>692</v>
      </c>
      <c r="C63" s="29" t="s">
        <v>11</v>
      </c>
      <c r="D63" s="40">
        <v>1000</v>
      </c>
      <c r="E63" s="182"/>
    </row>
    <row r="64" spans="1:6">
      <c r="A64" s="23"/>
      <c r="E64" s="182"/>
    </row>
    <row r="65" spans="1:5">
      <c r="A65" s="23"/>
      <c r="E65" s="182"/>
    </row>
    <row r="66" spans="1:5">
      <c r="A66" s="23">
        <f>COUNT($A$6:A65)+1</f>
        <v>17</v>
      </c>
      <c r="B66" s="1" t="s">
        <v>693</v>
      </c>
      <c r="E66" s="182"/>
    </row>
    <row r="67" spans="1:5" ht="120">
      <c r="A67" s="23"/>
      <c r="B67" s="1" t="s">
        <v>694</v>
      </c>
    </row>
    <row r="68" spans="1:5" ht="60">
      <c r="A68" s="23"/>
      <c r="B68" s="1" t="s">
        <v>695</v>
      </c>
    </row>
    <row r="69" spans="1:5" ht="75">
      <c r="A69" s="23"/>
      <c r="B69" s="1" t="s">
        <v>696</v>
      </c>
    </row>
    <row r="70" spans="1:5" ht="105">
      <c r="A70" s="23"/>
      <c r="B70" s="1" t="s">
        <v>697</v>
      </c>
    </row>
    <row r="71" spans="1:5">
      <c r="A71" s="23"/>
      <c r="B71" s="1" t="s">
        <v>698</v>
      </c>
    </row>
    <row r="72" spans="1:5">
      <c r="A72" s="23"/>
      <c r="B72" s="1" t="s">
        <v>699</v>
      </c>
      <c r="E72" s="182"/>
    </row>
    <row r="73" spans="1:5" ht="30">
      <c r="A73" s="23"/>
      <c r="B73" s="1" t="s">
        <v>700</v>
      </c>
      <c r="C73" s="29" t="s">
        <v>11</v>
      </c>
      <c r="D73" s="40">
        <v>1000</v>
      </c>
      <c r="E73" s="182"/>
    </row>
    <row r="74" spans="1:5">
      <c r="A74" s="23"/>
      <c r="E74" s="182"/>
    </row>
    <row r="75" spans="1:5">
      <c r="A75" s="23"/>
      <c r="E75" s="182"/>
    </row>
    <row r="76" spans="1:5">
      <c r="A76" s="23">
        <f>COUNT($A$6:A75)+1</f>
        <v>18</v>
      </c>
      <c r="B76" s="1" t="s">
        <v>701</v>
      </c>
      <c r="E76" s="182"/>
    </row>
    <row r="77" spans="1:5" ht="60">
      <c r="A77" s="23"/>
      <c r="B77" s="1" t="s">
        <v>702</v>
      </c>
      <c r="E77" s="182"/>
    </row>
    <row r="78" spans="1:5">
      <c r="A78" s="23"/>
      <c r="B78" s="1" t="s">
        <v>703</v>
      </c>
      <c r="C78" s="29" t="s">
        <v>11</v>
      </c>
      <c r="D78" s="40">
        <v>1000</v>
      </c>
      <c r="E78" s="182"/>
    </row>
    <row r="79" spans="1:5">
      <c r="A79" s="23"/>
      <c r="E79" s="182"/>
    </row>
    <row r="80" spans="1:5">
      <c r="A80" s="23">
        <f>COUNT($A$6:A79)+1</f>
        <v>19</v>
      </c>
      <c r="B80" s="1" t="s">
        <v>681</v>
      </c>
      <c r="E80" s="182"/>
    </row>
    <row r="81" spans="1:5" ht="45">
      <c r="A81" s="23"/>
      <c r="B81" s="1" t="s">
        <v>682</v>
      </c>
      <c r="E81" s="182"/>
    </row>
    <row r="82" spans="1:5" ht="45">
      <c r="A82" s="23"/>
      <c r="B82" s="1" t="s">
        <v>704</v>
      </c>
      <c r="C82" s="29" t="s">
        <v>9</v>
      </c>
      <c r="D82" s="40">
        <v>100</v>
      </c>
      <c r="E82" s="182"/>
    </row>
    <row r="83" spans="1:5">
      <c r="A83" s="23"/>
    </row>
    <row r="84" spans="1:5">
      <c r="A84" s="23"/>
      <c r="E84" s="182"/>
    </row>
    <row r="85" spans="1:5">
      <c r="A85" s="23">
        <f>COUNT($A$6:A84)+1</f>
        <v>20</v>
      </c>
      <c r="B85" s="1" t="s">
        <v>705</v>
      </c>
      <c r="E85" s="182"/>
    </row>
    <row r="86" spans="1:5" ht="60">
      <c r="A86" s="23"/>
      <c r="B86" s="1" t="s">
        <v>706</v>
      </c>
      <c r="E86" s="182"/>
    </row>
    <row r="87" spans="1:5" ht="30">
      <c r="A87" s="23"/>
      <c r="B87" s="1" t="s">
        <v>707</v>
      </c>
      <c r="E87" s="182"/>
    </row>
    <row r="88" spans="1:5">
      <c r="A88" s="23"/>
      <c r="B88" s="24" t="s">
        <v>708</v>
      </c>
      <c r="C88" s="29" t="s">
        <v>18</v>
      </c>
      <c r="D88" s="40">
        <v>10</v>
      </c>
      <c r="E88" s="182"/>
    </row>
    <row r="89" spans="1:5">
      <c r="A89" s="23"/>
      <c r="B89" s="24"/>
    </row>
    <row r="90" spans="1:5">
      <c r="A90" s="23">
        <f>COUNT($A$6:A89)+1</f>
        <v>21</v>
      </c>
      <c r="B90" s="1" t="s">
        <v>1711</v>
      </c>
      <c r="E90" s="182"/>
    </row>
    <row r="91" spans="1:5" ht="45">
      <c r="A91" s="23"/>
      <c r="B91" s="1" t="s">
        <v>1710</v>
      </c>
      <c r="C91" s="29" t="s">
        <v>11</v>
      </c>
      <c r="D91" s="40">
        <v>400</v>
      </c>
      <c r="E91" s="182"/>
    </row>
    <row r="92" spans="1:5">
      <c r="A92" s="23"/>
      <c r="B92" s="24"/>
      <c r="E92" s="182"/>
    </row>
    <row r="93" spans="1:5">
      <c r="A93" s="23">
        <f>COUNT($A$6:A92)+1</f>
        <v>22</v>
      </c>
      <c r="B93" s="1" t="s">
        <v>1711</v>
      </c>
      <c r="E93" s="182"/>
    </row>
    <row r="94" spans="1:5" ht="45">
      <c r="A94" s="23"/>
      <c r="B94" s="259" t="s">
        <v>1712</v>
      </c>
      <c r="C94" s="29" t="s">
        <v>11</v>
      </c>
      <c r="D94" s="40">
        <v>400</v>
      </c>
      <c r="E94" s="182"/>
    </row>
    <row r="95" spans="1:5">
      <c r="A95" s="23"/>
      <c r="B95" s="24"/>
      <c r="E95" s="182"/>
    </row>
    <row r="96" spans="1:5">
      <c r="A96" s="23">
        <f>COUNT($A$6:A95)+1</f>
        <v>23</v>
      </c>
      <c r="B96" s="24" t="s">
        <v>1713</v>
      </c>
      <c r="E96" s="182"/>
    </row>
    <row r="97" spans="1:7" ht="60">
      <c r="A97" s="23"/>
      <c r="B97" s="259" t="s">
        <v>1714</v>
      </c>
      <c r="C97" s="29" t="s">
        <v>11</v>
      </c>
      <c r="D97" s="40">
        <v>1000</v>
      </c>
      <c r="E97" s="182"/>
    </row>
    <row r="98" spans="1:7">
      <c r="B98" s="24"/>
      <c r="E98" s="182"/>
    </row>
    <row r="99" spans="1:7">
      <c r="A99" s="1"/>
      <c r="B99" s="1" t="s">
        <v>1715</v>
      </c>
      <c r="C99" s="1"/>
      <c r="D99" s="1"/>
      <c r="E99" s="1"/>
      <c r="F99" s="1"/>
    </row>
    <row r="100" spans="1:7">
      <c r="A100" s="23"/>
      <c r="B100" s="23"/>
      <c r="C100" s="1"/>
      <c r="D100" s="29"/>
      <c r="E100" s="40"/>
      <c r="F100" s="182"/>
      <c r="G100" s="183"/>
    </row>
    <row r="101" spans="1:7">
      <c r="B101" s="24"/>
      <c r="E101" s="182"/>
    </row>
    <row r="102" spans="1:7">
      <c r="A102" s="172" t="s">
        <v>277</v>
      </c>
      <c r="B102" s="173" t="s">
        <v>709</v>
      </c>
      <c r="C102" s="174"/>
      <c r="D102" s="175"/>
      <c r="E102" s="192"/>
      <c r="F102" s="193"/>
    </row>
    <row r="103" spans="1:7">
      <c r="B103" s="24"/>
      <c r="E103" s="182"/>
    </row>
    <row r="104" spans="1:7">
      <c r="B104" s="24"/>
      <c r="E104" s="182"/>
    </row>
    <row r="105" spans="1:7">
      <c r="B105" s="24"/>
      <c r="E105" s="182"/>
    </row>
    <row r="106" spans="1:7">
      <c r="B106" s="24"/>
    </row>
    <row r="107" spans="1:7">
      <c r="B107" s="24"/>
    </row>
    <row r="108" spans="1:7">
      <c r="B108" s="24"/>
    </row>
    <row r="109" spans="1:7">
      <c r="B109" s="24"/>
    </row>
    <row r="110" spans="1:7">
      <c r="B110" s="24"/>
    </row>
    <row r="111" spans="1:7">
      <c r="B111" s="557"/>
      <c r="E111" s="182"/>
    </row>
    <row r="112" spans="1:7">
      <c r="B112" s="557"/>
      <c r="E112" s="182"/>
    </row>
    <row r="113" spans="1:6">
      <c r="B113" s="24"/>
      <c r="E113" s="182"/>
    </row>
    <row r="114" spans="1:6">
      <c r="B114" s="24"/>
      <c r="E114" s="182"/>
    </row>
    <row r="115" spans="1:6">
      <c r="B115" s="24"/>
      <c r="E115" s="182"/>
    </row>
    <row r="116" spans="1:6">
      <c r="B116" s="24"/>
      <c r="E116" s="182"/>
    </row>
    <row r="117" spans="1:6">
      <c r="B117" s="24"/>
      <c r="E117" s="182"/>
    </row>
    <row r="118" spans="1:6">
      <c r="B118" s="24"/>
      <c r="E118" s="182"/>
    </row>
    <row r="119" spans="1:6">
      <c r="B119" s="24"/>
      <c r="E119" s="182"/>
    </row>
    <row r="120" spans="1:6">
      <c r="B120" s="24"/>
      <c r="E120" s="182"/>
    </row>
    <row r="121" spans="1:6">
      <c r="B121" s="24"/>
      <c r="E121" s="182"/>
    </row>
    <row r="122" spans="1:6" s="55" customFormat="1">
      <c r="A122" s="17"/>
      <c r="B122" s="24"/>
      <c r="C122" s="29"/>
      <c r="D122" s="40"/>
      <c r="E122" s="182"/>
      <c r="F122" s="183"/>
    </row>
    <row r="123" spans="1:6" s="55" customFormat="1">
      <c r="A123" s="17"/>
      <c r="B123" s="24"/>
      <c r="C123" s="29"/>
      <c r="D123" s="40"/>
      <c r="E123" s="182"/>
      <c r="F123" s="183"/>
    </row>
    <row r="124" spans="1:6" s="55" customFormat="1">
      <c r="A124" s="17"/>
      <c r="B124" s="24"/>
      <c r="C124" s="29"/>
      <c r="D124" s="40"/>
      <c r="E124" s="182"/>
      <c r="F124" s="183"/>
    </row>
    <row r="125" spans="1:6" s="55" customFormat="1">
      <c r="A125" s="17"/>
      <c r="B125" s="24"/>
      <c r="C125" s="29"/>
      <c r="D125" s="40"/>
      <c r="E125" s="182"/>
      <c r="F125" s="183"/>
    </row>
    <row r="126" spans="1:6" s="55" customFormat="1">
      <c r="A126" s="17"/>
      <c r="B126" s="24"/>
      <c r="C126" s="29"/>
      <c r="D126" s="40"/>
      <c r="E126" s="182"/>
      <c r="F126" s="183"/>
    </row>
    <row r="127" spans="1:6" s="55" customFormat="1">
      <c r="A127" s="17"/>
      <c r="B127" s="24"/>
      <c r="C127" s="29"/>
      <c r="D127" s="40"/>
      <c r="E127" s="182"/>
      <c r="F127" s="183"/>
    </row>
    <row r="128" spans="1:6" s="55" customFormat="1">
      <c r="A128" s="17"/>
      <c r="B128" s="24"/>
      <c r="C128" s="29"/>
      <c r="D128" s="40"/>
      <c r="E128" s="182"/>
      <c r="F128" s="183"/>
    </row>
    <row r="129" spans="1:6" s="55" customFormat="1">
      <c r="A129" s="17"/>
      <c r="B129" s="24"/>
      <c r="C129" s="29"/>
      <c r="D129" s="40"/>
      <c r="E129" s="182"/>
      <c r="F129" s="183"/>
    </row>
    <row r="130" spans="1:6" s="55" customFormat="1">
      <c r="A130" s="17"/>
      <c r="B130" s="24"/>
      <c r="C130" s="29"/>
      <c r="D130" s="40"/>
      <c r="E130" s="182"/>
      <c r="F130" s="183"/>
    </row>
    <row r="131" spans="1:6" s="55" customFormat="1">
      <c r="A131" s="17"/>
      <c r="B131" s="24"/>
      <c r="C131" s="29"/>
      <c r="D131" s="40"/>
      <c r="E131" s="182"/>
      <c r="F131" s="183"/>
    </row>
    <row r="132" spans="1:6" s="55" customFormat="1">
      <c r="A132" s="17"/>
      <c r="B132" s="24"/>
      <c r="C132" s="29"/>
      <c r="D132" s="40"/>
      <c r="E132" s="182"/>
      <c r="F132" s="183"/>
    </row>
    <row r="133" spans="1:6" s="55" customFormat="1">
      <c r="A133" s="17"/>
      <c r="B133" s="24"/>
      <c r="C133" s="29"/>
      <c r="D133" s="40"/>
      <c r="E133" s="182"/>
      <c r="F133" s="183"/>
    </row>
    <row r="134" spans="1:6" s="55" customFormat="1">
      <c r="A134" s="17"/>
      <c r="B134" s="24"/>
      <c r="C134" s="29"/>
      <c r="D134" s="40"/>
      <c r="E134" s="182"/>
      <c r="F134" s="183"/>
    </row>
    <row r="135" spans="1:6" s="55" customFormat="1">
      <c r="A135" s="17"/>
      <c r="B135" s="24"/>
      <c r="C135" s="29"/>
      <c r="D135" s="40"/>
      <c r="E135" s="182"/>
      <c r="F135" s="183"/>
    </row>
    <row r="136" spans="1:6" s="55" customFormat="1">
      <c r="A136" s="17"/>
      <c r="B136" s="24"/>
      <c r="C136" s="29"/>
      <c r="D136" s="40"/>
      <c r="E136" s="182"/>
      <c r="F136" s="183"/>
    </row>
    <row r="137" spans="1:6" s="55" customFormat="1">
      <c r="A137" s="17"/>
      <c r="B137" s="24"/>
      <c r="C137" s="29"/>
      <c r="D137" s="40"/>
      <c r="E137" s="182"/>
      <c r="F137" s="183"/>
    </row>
    <row r="138" spans="1:6" s="55" customFormat="1">
      <c r="A138" s="17"/>
      <c r="B138" s="24"/>
      <c r="C138" s="29"/>
      <c r="D138" s="40"/>
      <c r="E138" s="182"/>
      <c r="F138" s="183"/>
    </row>
    <row r="139" spans="1:6" s="55" customFormat="1">
      <c r="A139" s="17"/>
      <c r="B139" s="24"/>
      <c r="C139" s="29"/>
      <c r="D139" s="40"/>
      <c r="E139" s="182"/>
      <c r="F139" s="183"/>
    </row>
    <row r="140" spans="1:6" s="55" customFormat="1">
      <c r="A140" s="17"/>
      <c r="B140" s="24"/>
      <c r="C140" s="29"/>
      <c r="D140" s="40"/>
      <c r="E140" s="182"/>
      <c r="F140" s="183"/>
    </row>
    <row r="141" spans="1:6" s="55" customFormat="1">
      <c r="A141" s="17"/>
      <c r="B141" s="24"/>
      <c r="C141" s="29"/>
      <c r="D141" s="40"/>
      <c r="E141" s="182"/>
      <c r="F141" s="183"/>
    </row>
    <row r="142" spans="1:6" s="55" customFormat="1">
      <c r="A142" s="17"/>
      <c r="B142" s="24"/>
      <c r="C142" s="29"/>
      <c r="D142" s="40"/>
      <c r="E142" s="182"/>
      <c r="F142" s="183"/>
    </row>
    <row r="143" spans="1:6" s="55" customFormat="1">
      <c r="A143" s="17"/>
      <c r="B143" s="24"/>
      <c r="C143" s="29"/>
      <c r="D143" s="40"/>
      <c r="E143" s="182"/>
      <c r="F143" s="183"/>
    </row>
    <row r="144" spans="1:6" s="55" customFormat="1">
      <c r="A144" s="17"/>
      <c r="B144" s="24"/>
      <c r="C144" s="29"/>
      <c r="D144" s="40"/>
      <c r="E144" s="182"/>
      <c r="F144" s="183"/>
    </row>
    <row r="145" spans="1:6" s="55" customFormat="1">
      <c r="A145" s="17"/>
      <c r="B145" s="24"/>
      <c r="C145" s="29"/>
      <c r="D145" s="40"/>
      <c r="E145" s="182"/>
      <c r="F145" s="183"/>
    </row>
    <row r="146" spans="1:6" s="55" customFormat="1">
      <c r="A146" s="17"/>
      <c r="B146" s="24"/>
      <c r="C146" s="29"/>
      <c r="D146" s="40"/>
      <c r="E146" s="182"/>
      <c r="F146" s="183"/>
    </row>
    <row r="147" spans="1:6" s="55" customFormat="1">
      <c r="A147" s="17"/>
      <c r="B147" s="24"/>
      <c r="C147" s="29"/>
      <c r="D147" s="40"/>
      <c r="E147" s="182"/>
      <c r="F147" s="183"/>
    </row>
    <row r="148" spans="1:6" s="55" customFormat="1">
      <c r="A148" s="17"/>
      <c r="B148" s="24"/>
      <c r="C148" s="29"/>
      <c r="D148" s="40"/>
      <c r="E148" s="182"/>
      <c r="F148" s="183"/>
    </row>
    <row r="149" spans="1:6" s="55" customFormat="1">
      <c r="A149" s="17"/>
      <c r="B149" s="24"/>
      <c r="C149" s="29"/>
      <c r="D149" s="40"/>
      <c r="E149" s="182"/>
      <c r="F149" s="183"/>
    </row>
    <row r="150" spans="1:6" s="55" customFormat="1">
      <c r="A150" s="17"/>
      <c r="B150" s="24"/>
      <c r="C150" s="29"/>
      <c r="D150" s="40"/>
      <c r="E150" s="182"/>
      <c r="F150" s="183"/>
    </row>
    <row r="151" spans="1:6" s="55" customFormat="1">
      <c r="A151" s="17"/>
      <c r="B151" s="24"/>
      <c r="C151" s="29"/>
      <c r="D151" s="40"/>
      <c r="E151" s="182"/>
      <c r="F151" s="183"/>
    </row>
    <row r="152" spans="1:6" s="55" customFormat="1">
      <c r="A152" s="17"/>
      <c r="B152" s="24"/>
      <c r="C152" s="29"/>
      <c r="D152" s="40"/>
      <c r="E152" s="182"/>
      <c r="F152" s="183"/>
    </row>
    <row r="153" spans="1:6" s="55" customFormat="1">
      <c r="A153" s="17"/>
      <c r="B153" s="24"/>
      <c r="C153" s="29"/>
      <c r="D153" s="40"/>
      <c r="E153" s="182"/>
      <c r="F153" s="183"/>
    </row>
    <row r="154" spans="1:6" s="55" customFormat="1">
      <c r="A154" s="17"/>
      <c r="B154" s="24"/>
      <c r="C154" s="29"/>
      <c r="D154" s="40"/>
      <c r="E154" s="182"/>
      <c r="F154" s="183"/>
    </row>
    <row r="155" spans="1:6" s="55" customFormat="1">
      <c r="A155" s="17"/>
      <c r="B155" s="24"/>
      <c r="C155" s="29"/>
      <c r="D155" s="40"/>
      <c r="E155" s="182"/>
      <c r="F155" s="183"/>
    </row>
    <row r="156" spans="1:6" s="55" customFormat="1">
      <c r="A156" s="17"/>
      <c r="B156" s="24"/>
      <c r="C156" s="29"/>
      <c r="D156" s="40"/>
      <c r="E156" s="182"/>
      <c r="F156" s="183"/>
    </row>
    <row r="157" spans="1:6" s="55" customFormat="1">
      <c r="A157" s="17"/>
      <c r="B157" s="24"/>
      <c r="C157" s="29"/>
      <c r="D157" s="40"/>
      <c r="E157" s="182"/>
      <c r="F157" s="183"/>
    </row>
    <row r="158" spans="1:6" s="55" customFormat="1">
      <c r="A158" s="17"/>
      <c r="B158" s="24"/>
      <c r="C158" s="29"/>
      <c r="D158" s="40"/>
      <c r="E158" s="182"/>
      <c r="F158" s="183"/>
    </row>
    <row r="159" spans="1:6" s="55" customFormat="1">
      <c r="A159" s="17"/>
      <c r="B159" s="24"/>
      <c r="C159" s="29"/>
      <c r="D159" s="40"/>
      <c r="E159" s="182"/>
      <c r="F159" s="183"/>
    </row>
    <row r="160" spans="1:6" s="55" customFormat="1">
      <c r="A160" s="17"/>
      <c r="B160" s="1"/>
      <c r="C160" s="29"/>
      <c r="D160" s="40"/>
      <c r="E160" s="182"/>
      <c r="F160" s="183"/>
    </row>
    <row r="161" spans="1:6" s="55" customFormat="1">
      <c r="A161" s="17"/>
      <c r="B161" s="1"/>
      <c r="C161" s="29"/>
      <c r="D161" s="40"/>
      <c r="E161" s="182"/>
      <c r="F161" s="183"/>
    </row>
    <row r="162" spans="1:6" s="55" customFormat="1">
      <c r="A162" s="17"/>
      <c r="B162" s="1"/>
      <c r="C162" s="29"/>
      <c r="D162" s="40"/>
      <c r="E162" s="182"/>
      <c r="F162" s="183"/>
    </row>
    <row r="163" spans="1:6" s="55" customFormat="1">
      <c r="A163" s="17"/>
      <c r="B163" s="1"/>
      <c r="C163" s="29"/>
      <c r="D163" s="40"/>
      <c r="E163" s="182"/>
      <c r="F163" s="183"/>
    </row>
    <row r="164" spans="1:6" s="55" customFormat="1">
      <c r="A164" s="17"/>
      <c r="B164" s="1"/>
      <c r="C164" s="29"/>
      <c r="D164" s="40"/>
      <c r="E164" s="182"/>
      <c r="F164" s="183"/>
    </row>
    <row r="165" spans="1:6" s="55" customFormat="1">
      <c r="A165" s="17"/>
      <c r="B165" s="1"/>
      <c r="C165" s="29"/>
      <c r="D165" s="40"/>
      <c r="E165" s="182"/>
      <c r="F165" s="183"/>
    </row>
    <row r="166" spans="1:6" s="55" customFormat="1">
      <c r="A166" s="17"/>
      <c r="B166" s="1"/>
      <c r="C166" s="29"/>
      <c r="D166" s="40"/>
      <c r="E166" s="182"/>
      <c r="F166" s="183"/>
    </row>
    <row r="167" spans="1:6" s="55" customFormat="1">
      <c r="A167" s="17"/>
      <c r="B167" s="1"/>
      <c r="C167" s="29"/>
      <c r="D167" s="40"/>
      <c r="E167" s="182"/>
      <c r="F167" s="183"/>
    </row>
    <row r="168" spans="1:6" s="55" customFormat="1">
      <c r="A168" s="17"/>
      <c r="B168" s="1"/>
      <c r="C168" s="29"/>
      <c r="D168" s="40"/>
      <c r="E168" s="182"/>
      <c r="F168" s="183"/>
    </row>
    <row r="169" spans="1:6" s="55" customFormat="1">
      <c r="A169" s="17"/>
      <c r="B169" s="1"/>
      <c r="C169" s="29"/>
      <c r="D169" s="40"/>
      <c r="E169" s="182"/>
      <c r="F169" s="183"/>
    </row>
    <row r="170" spans="1:6" s="55" customFormat="1">
      <c r="A170" s="17"/>
      <c r="B170" s="1"/>
      <c r="C170" s="29"/>
      <c r="D170" s="40"/>
      <c r="E170" s="182"/>
      <c r="F170" s="183"/>
    </row>
    <row r="171" spans="1:6" s="55" customFormat="1">
      <c r="A171" s="17"/>
      <c r="B171" s="1"/>
      <c r="C171" s="29"/>
      <c r="D171" s="40"/>
      <c r="E171" s="182"/>
      <c r="F171" s="183"/>
    </row>
    <row r="172" spans="1:6" s="55" customFormat="1">
      <c r="A172" s="17"/>
      <c r="B172" s="1"/>
      <c r="C172" s="29"/>
      <c r="D172" s="40"/>
      <c r="E172" s="182"/>
      <c r="F172" s="183"/>
    </row>
    <row r="173" spans="1:6" s="55" customFormat="1">
      <c r="A173" s="17"/>
      <c r="B173" s="1"/>
      <c r="C173" s="29"/>
      <c r="D173" s="40"/>
      <c r="E173" s="182"/>
      <c r="F173" s="183"/>
    </row>
    <row r="174" spans="1:6" s="55" customFormat="1">
      <c r="A174" s="17"/>
      <c r="B174" s="1"/>
      <c r="C174" s="29"/>
      <c r="D174" s="40"/>
      <c r="E174" s="182"/>
      <c r="F174" s="183"/>
    </row>
    <row r="175" spans="1:6" s="55" customFormat="1">
      <c r="A175" s="17"/>
      <c r="B175" s="1"/>
      <c r="C175" s="29"/>
      <c r="D175" s="40"/>
      <c r="E175" s="182"/>
      <c r="F175" s="183"/>
    </row>
    <row r="176" spans="1:6" s="55" customFormat="1">
      <c r="A176" s="17"/>
      <c r="B176" s="1"/>
      <c r="C176" s="29"/>
      <c r="D176" s="40"/>
      <c r="E176" s="182"/>
      <c r="F176" s="183"/>
    </row>
    <row r="177" spans="1:6" s="55" customFormat="1">
      <c r="A177" s="17"/>
      <c r="B177" s="1"/>
      <c r="C177" s="29"/>
      <c r="D177" s="40"/>
      <c r="E177" s="182"/>
      <c r="F177" s="183"/>
    </row>
    <row r="178" spans="1:6" s="55" customFormat="1">
      <c r="A178" s="17"/>
      <c r="B178" s="1"/>
      <c r="C178" s="29"/>
      <c r="D178" s="40"/>
      <c r="E178" s="182"/>
      <c r="F178" s="183"/>
    </row>
    <row r="179" spans="1:6" s="55" customFormat="1">
      <c r="A179" s="17"/>
      <c r="B179" s="1"/>
      <c r="C179" s="29"/>
      <c r="D179" s="40"/>
      <c r="E179" s="182"/>
      <c r="F179" s="183"/>
    </row>
    <row r="180" spans="1:6" s="55" customFormat="1">
      <c r="A180" s="17"/>
      <c r="B180" s="1"/>
      <c r="C180" s="29"/>
      <c r="D180" s="40"/>
      <c r="E180" s="182"/>
      <c r="F180" s="183"/>
    </row>
    <row r="181" spans="1:6" s="55" customFormat="1">
      <c r="A181" s="17"/>
      <c r="B181" s="1"/>
      <c r="C181" s="29"/>
      <c r="D181" s="40"/>
      <c r="E181" s="182"/>
      <c r="F181" s="183"/>
    </row>
    <row r="182" spans="1:6" s="55" customFormat="1">
      <c r="A182" s="17"/>
      <c r="B182" s="1"/>
      <c r="C182" s="29"/>
      <c r="D182" s="40"/>
      <c r="E182" s="182"/>
      <c r="F182" s="183"/>
    </row>
    <row r="183" spans="1:6" s="55" customFormat="1">
      <c r="A183" s="17"/>
      <c r="B183" s="1"/>
      <c r="C183" s="29"/>
      <c r="D183" s="40"/>
      <c r="E183" s="182"/>
      <c r="F183" s="183"/>
    </row>
    <row r="184" spans="1:6" s="55" customFormat="1">
      <c r="A184" s="17"/>
      <c r="B184" s="1"/>
      <c r="C184" s="29"/>
      <c r="D184" s="40"/>
      <c r="E184" s="182"/>
      <c r="F184" s="183"/>
    </row>
    <row r="185" spans="1:6" s="55" customFormat="1">
      <c r="A185" s="17"/>
      <c r="B185" s="1"/>
      <c r="C185" s="29"/>
      <c r="D185" s="40"/>
      <c r="E185" s="182"/>
      <c r="F185" s="183"/>
    </row>
    <row r="186" spans="1:6" s="55" customFormat="1">
      <c r="A186" s="17"/>
      <c r="B186" s="1"/>
      <c r="C186" s="29"/>
      <c r="D186" s="40"/>
      <c r="E186" s="182"/>
      <c r="F186" s="183"/>
    </row>
    <row r="187" spans="1:6" s="55" customFormat="1">
      <c r="A187" s="17"/>
      <c r="B187" s="1"/>
      <c r="C187" s="29"/>
      <c r="D187" s="40"/>
      <c r="E187" s="182"/>
      <c r="F187" s="183"/>
    </row>
    <row r="188" spans="1:6" s="55" customFormat="1">
      <c r="A188" s="17"/>
      <c r="B188" s="1"/>
      <c r="C188" s="29"/>
      <c r="D188" s="40"/>
      <c r="E188" s="182"/>
      <c r="F188" s="183"/>
    </row>
    <row r="189" spans="1:6" s="55" customFormat="1">
      <c r="A189" s="17"/>
      <c r="B189" s="1"/>
      <c r="C189" s="29"/>
      <c r="D189" s="40"/>
      <c r="E189" s="182"/>
      <c r="F189" s="183"/>
    </row>
    <row r="190" spans="1:6" s="55" customFormat="1">
      <c r="A190" s="17"/>
      <c r="B190" s="1"/>
      <c r="C190" s="29"/>
      <c r="D190" s="40"/>
      <c r="E190" s="182"/>
      <c r="F190" s="183"/>
    </row>
    <row r="191" spans="1:6" s="55" customFormat="1">
      <c r="A191" s="17"/>
      <c r="B191" s="1"/>
      <c r="C191" s="29"/>
      <c r="D191" s="40"/>
      <c r="E191" s="182"/>
      <c r="F191" s="183"/>
    </row>
    <row r="192" spans="1:6" s="55" customFormat="1">
      <c r="A192" s="17"/>
      <c r="B192" s="24"/>
      <c r="C192" s="29"/>
      <c r="D192" s="40"/>
      <c r="E192" s="182"/>
      <c r="F192" s="183"/>
    </row>
    <row r="193" spans="1:6" s="55" customFormat="1">
      <c r="A193" s="17"/>
      <c r="B193" s="24"/>
      <c r="C193" s="29"/>
      <c r="D193" s="40"/>
      <c r="E193" s="182"/>
      <c r="F193" s="183"/>
    </row>
    <row r="194" spans="1:6" s="55" customFormat="1">
      <c r="A194" s="17"/>
      <c r="B194" s="24"/>
      <c r="C194" s="29"/>
      <c r="D194" s="40"/>
      <c r="E194" s="182"/>
      <c r="F194" s="183"/>
    </row>
    <row r="195" spans="1:6" s="55" customFormat="1">
      <c r="A195" s="17"/>
      <c r="B195" s="24"/>
      <c r="C195" s="29"/>
      <c r="D195" s="40"/>
      <c r="E195" s="182"/>
      <c r="F195" s="183"/>
    </row>
    <row r="196" spans="1:6" s="55" customFormat="1">
      <c r="A196" s="17"/>
      <c r="B196" s="24"/>
      <c r="C196" s="29"/>
      <c r="D196" s="40"/>
      <c r="E196" s="182"/>
      <c r="F196" s="183"/>
    </row>
    <row r="197" spans="1:6" s="55" customFormat="1">
      <c r="A197" s="17"/>
      <c r="B197" s="24"/>
      <c r="C197" s="29"/>
      <c r="D197" s="40"/>
      <c r="E197" s="182"/>
      <c r="F197" s="183"/>
    </row>
    <row r="198" spans="1:6" s="55" customFormat="1">
      <c r="A198" s="17"/>
      <c r="B198" s="24"/>
      <c r="C198" s="29"/>
      <c r="D198" s="40"/>
      <c r="E198" s="182"/>
      <c r="F198" s="183"/>
    </row>
    <row r="199" spans="1:6" s="55" customFormat="1">
      <c r="A199" s="17"/>
      <c r="B199" s="24"/>
      <c r="C199" s="29"/>
      <c r="D199" s="40"/>
      <c r="E199" s="182"/>
      <c r="F199" s="183"/>
    </row>
    <row r="200" spans="1:6" s="55" customFormat="1">
      <c r="A200" s="17"/>
      <c r="B200" s="24"/>
      <c r="C200" s="29"/>
      <c r="D200" s="40"/>
      <c r="E200" s="182"/>
      <c r="F200" s="183"/>
    </row>
    <row r="201" spans="1:6" s="55" customFormat="1">
      <c r="A201" s="17"/>
      <c r="B201" s="24"/>
      <c r="C201" s="29"/>
      <c r="D201" s="40"/>
      <c r="E201" s="182"/>
      <c r="F201" s="183"/>
    </row>
    <row r="202" spans="1:6" s="55" customFormat="1">
      <c r="A202" s="17"/>
      <c r="B202" s="24"/>
      <c r="C202" s="29"/>
      <c r="D202" s="40"/>
      <c r="E202" s="182"/>
      <c r="F202" s="183"/>
    </row>
    <row r="203" spans="1:6" s="55" customFormat="1">
      <c r="A203" s="17"/>
      <c r="B203" s="24"/>
      <c r="C203" s="29"/>
      <c r="D203" s="40"/>
      <c r="E203" s="182"/>
      <c r="F203" s="183"/>
    </row>
    <row r="204" spans="1:6" s="55" customFormat="1">
      <c r="A204" s="17"/>
      <c r="B204" s="24"/>
      <c r="C204" s="29"/>
      <c r="D204" s="40"/>
      <c r="E204" s="182"/>
      <c r="F204" s="183"/>
    </row>
    <row r="205" spans="1:6" s="55" customFormat="1">
      <c r="A205" s="17"/>
      <c r="B205" s="24"/>
      <c r="C205" s="29"/>
      <c r="D205" s="40"/>
      <c r="E205" s="182"/>
      <c r="F205" s="183"/>
    </row>
    <row r="206" spans="1:6" s="55" customFormat="1">
      <c r="A206" s="17"/>
      <c r="B206" s="24"/>
      <c r="C206" s="29"/>
      <c r="D206" s="40"/>
      <c r="E206" s="182"/>
      <c r="F206" s="183"/>
    </row>
    <row r="207" spans="1:6" s="55" customFormat="1">
      <c r="A207" s="17"/>
      <c r="B207" s="24"/>
      <c r="C207" s="29"/>
      <c r="D207" s="40"/>
      <c r="E207" s="182"/>
      <c r="F207" s="183"/>
    </row>
    <row r="208" spans="1:6" s="55" customFormat="1">
      <c r="A208" s="17"/>
      <c r="B208" s="24"/>
      <c r="C208" s="29"/>
      <c r="D208" s="40"/>
      <c r="E208" s="182"/>
      <c r="F208" s="183"/>
    </row>
    <row r="209" spans="1:6" s="55" customFormat="1">
      <c r="A209" s="17"/>
      <c r="B209" s="24"/>
      <c r="C209" s="29"/>
      <c r="D209" s="40"/>
      <c r="E209" s="182"/>
      <c r="F209" s="183"/>
    </row>
    <row r="210" spans="1:6" s="55" customFormat="1">
      <c r="A210" s="17"/>
      <c r="B210" s="24"/>
      <c r="C210" s="29"/>
      <c r="D210" s="40"/>
      <c r="E210" s="182"/>
      <c r="F210" s="183"/>
    </row>
    <row r="211" spans="1:6" s="55" customFormat="1">
      <c r="A211" s="17"/>
      <c r="B211" s="24"/>
      <c r="C211" s="29"/>
      <c r="D211" s="40"/>
      <c r="E211" s="182"/>
      <c r="F211" s="183"/>
    </row>
    <row r="212" spans="1:6" s="55" customFormat="1">
      <c r="A212" s="17"/>
      <c r="B212" s="24"/>
      <c r="C212" s="29"/>
      <c r="D212" s="40"/>
      <c r="E212" s="182"/>
      <c r="F212" s="183"/>
    </row>
    <row r="213" spans="1:6" s="55" customFormat="1">
      <c r="A213" s="17"/>
      <c r="B213" s="24"/>
      <c r="C213" s="29"/>
      <c r="D213" s="40"/>
      <c r="E213" s="182"/>
      <c r="F213" s="183"/>
    </row>
    <row r="214" spans="1:6" s="55" customFormat="1">
      <c r="A214" s="17"/>
      <c r="B214" s="24"/>
      <c r="C214" s="29"/>
      <c r="D214" s="40"/>
      <c r="E214" s="182"/>
      <c r="F214" s="183"/>
    </row>
    <row r="215" spans="1:6" s="55" customFormat="1">
      <c r="A215" s="17"/>
      <c r="B215" s="24"/>
      <c r="C215" s="29"/>
      <c r="D215" s="40"/>
      <c r="E215" s="182"/>
      <c r="F215" s="183"/>
    </row>
    <row r="216" spans="1:6" s="55" customFormat="1">
      <c r="A216" s="17"/>
      <c r="B216" s="24"/>
      <c r="C216" s="29"/>
      <c r="D216" s="40"/>
      <c r="E216" s="182"/>
      <c r="F216" s="183"/>
    </row>
    <row r="217" spans="1:6" s="55" customFormat="1">
      <c r="A217" s="17"/>
      <c r="B217" s="24"/>
      <c r="C217" s="29"/>
      <c r="D217" s="40"/>
      <c r="E217" s="182"/>
      <c r="F217" s="183"/>
    </row>
    <row r="218" spans="1:6" s="55" customFormat="1">
      <c r="A218" s="17"/>
      <c r="B218" s="24"/>
      <c r="C218" s="29"/>
      <c r="D218" s="40"/>
      <c r="E218" s="182"/>
      <c r="F218" s="183"/>
    </row>
    <row r="219" spans="1:6" s="55" customFormat="1">
      <c r="A219" s="17"/>
      <c r="B219" s="24"/>
      <c r="C219" s="29"/>
      <c r="D219" s="40"/>
      <c r="E219" s="182"/>
      <c r="F219" s="183"/>
    </row>
    <row r="220" spans="1:6" s="55" customFormat="1">
      <c r="A220" s="17"/>
      <c r="B220" s="24"/>
      <c r="C220" s="29"/>
      <c r="D220" s="40"/>
      <c r="E220" s="182"/>
      <c r="F220" s="183"/>
    </row>
    <row r="221" spans="1:6" s="55" customFormat="1">
      <c r="A221" s="17"/>
      <c r="B221" s="24"/>
      <c r="C221" s="29"/>
      <c r="D221" s="40"/>
      <c r="E221" s="182"/>
      <c r="F221" s="183"/>
    </row>
    <row r="222" spans="1:6" s="55" customFormat="1">
      <c r="A222" s="17"/>
      <c r="B222" s="24"/>
      <c r="C222" s="29"/>
      <c r="D222" s="40"/>
      <c r="E222" s="182"/>
      <c r="F222" s="183"/>
    </row>
    <row r="223" spans="1:6" s="55" customFormat="1">
      <c r="A223" s="17"/>
      <c r="B223" s="24"/>
      <c r="C223" s="29"/>
      <c r="D223" s="40"/>
      <c r="E223" s="182"/>
      <c r="F223" s="183"/>
    </row>
    <row r="224" spans="1:6" s="55" customFormat="1">
      <c r="A224" s="17"/>
      <c r="B224" s="24"/>
      <c r="C224" s="29"/>
      <c r="D224" s="40"/>
      <c r="E224" s="182"/>
      <c r="F224" s="183"/>
    </row>
    <row r="225" spans="1:6" s="55" customFormat="1">
      <c r="A225" s="17"/>
      <c r="B225" s="24"/>
      <c r="C225" s="29"/>
      <c r="D225" s="40"/>
      <c r="E225" s="182"/>
      <c r="F225" s="183"/>
    </row>
    <row r="226" spans="1:6" s="55" customFormat="1">
      <c r="A226" s="17"/>
      <c r="B226" s="24"/>
      <c r="C226" s="29"/>
      <c r="D226" s="40"/>
      <c r="E226" s="182"/>
      <c r="F226" s="183"/>
    </row>
    <row r="227" spans="1:6" s="55" customFormat="1">
      <c r="A227" s="17"/>
      <c r="B227" s="24"/>
      <c r="C227" s="29"/>
      <c r="D227" s="40"/>
      <c r="E227" s="182"/>
      <c r="F227" s="183"/>
    </row>
    <row r="228" spans="1:6" s="55" customFormat="1">
      <c r="A228" s="17"/>
      <c r="B228" s="24"/>
      <c r="C228" s="29"/>
      <c r="D228" s="40"/>
      <c r="E228" s="182"/>
      <c r="F228" s="183"/>
    </row>
    <row r="229" spans="1:6" s="55" customFormat="1">
      <c r="A229" s="17"/>
      <c r="B229" s="24"/>
      <c r="C229" s="29"/>
      <c r="D229" s="40"/>
      <c r="E229" s="182"/>
      <c r="F229" s="183"/>
    </row>
    <row r="230" spans="1:6" s="55" customFormat="1">
      <c r="A230" s="17"/>
      <c r="B230" s="24"/>
      <c r="C230" s="29"/>
      <c r="D230" s="40"/>
      <c r="E230" s="182"/>
      <c r="F230" s="183"/>
    </row>
    <row r="231" spans="1:6" s="55" customFormat="1">
      <c r="A231" s="17"/>
      <c r="B231" s="24"/>
      <c r="C231" s="29"/>
      <c r="D231" s="40"/>
      <c r="E231" s="182"/>
      <c r="F231" s="183"/>
    </row>
    <row r="232" spans="1:6" s="55" customFormat="1">
      <c r="A232" s="17"/>
      <c r="B232" s="24"/>
      <c r="C232" s="29"/>
      <c r="D232" s="40"/>
      <c r="E232" s="182"/>
      <c r="F232" s="183"/>
    </row>
    <row r="233" spans="1:6" s="55" customFormat="1">
      <c r="A233" s="17"/>
      <c r="B233" s="24"/>
      <c r="C233" s="29"/>
      <c r="D233" s="40"/>
      <c r="E233" s="182"/>
      <c r="F233" s="183"/>
    </row>
    <row r="234" spans="1:6" s="55" customFormat="1">
      <c r="A234" s="17"/>
      <c r="B234" s="24"/>
      <c r="C234" s="29"/>
      <c r="D234" s="40"/>
      <c r="E234" s="182"/>
      <c r="F234" s="183"/>
    </row>
    <row r="235" spans="1:6" s="55" customFormat="1">
      <c r="A235" s="17"/>
      <c r="B235" s="24"/>
      <c r="C235" s="29"/>
      <c r="D235" s="40"/>
      <c r="E235" s="182"/>
      <c r="F235" s="183"/>
    </row>
    <row r="236" spans="1:6" s="55" customFormat="1">
      <c r="A236" s="17"/>
      <c r="B236" s="24"/>
      <c r="C236" s="29"/>
      <c r="D236" s="40"/>
      <c r="E236" s="182"/>
      <c r="F236" s="183"/>
    </row>
    <row r="237" spans="1:6" s="55" customFormat="1">
      <c r="A237" s="17"/>
      <c r="B237" s="24"/>
      <c r="C237" s="29"/>
      <c r="D237" s="40"/>
      <c r="E237" s="182"/>
      <c r="F237" s="183"/>
    </row>
    <row r="238" spans="1:6" s="55" customFormat="1">
      <c r="A238" s="17"/>
      <c r="B238" s="24"/>
      <c r="C238" s="29"/>
      <c r="D238" s="40"/>
      <c r="E238" s="182"/>
      <c r="F238" s="183"/>
    </row>
    <row r="239" spans="1:6" s="55" customFormat="1">
      <c r="A239" s="17"/>
      <c r="B239" s="24"/>
      <c r="C239" s="29"/>
      <c r="D239" s="40"/>
      <c r="E239" s="182"/>
      <c r="F239" s="183"/>
    </row>
    <row r="240" spans="1:6" s="55" customFormat="1">
      <c r="A240" s="17"/>
      <c r="B240" s="24"/>
      <c r="C240" s="29"/>
      <c r="D240" s="40"/>
      <c r="E240" s="182"/>
      <c r="F240" s="183"/>
    </row>
    <row r="241" spans="1:6" s="55" customFormat="1">
      <c r="A241" s="17"/>
      <c r="B241" s="24"/>
      <c r="C241" s="29"/>
      <c r="D241" s="40"/>
      <c r="E241" s="182"/>
      <c r="F241" s="183"/>
    </row>
    <row r="242" spans="1:6" s="55" customFormat="1">
      <c r="A242" s="17"/>
      <c r="B242" s="24"/>
      <c r="C242" s="29"/>
      <c r="D242" s="40"/>
      <c r="E242" s="182"/>
      <c r="F242" s="183"/>
    </row>
    <row r="243" spans="1:6" s="55" customFormat="1">
      <c r="A243" s="17"/>
      <c r="B243" s="24"/>
      <c r="C243" s="29"/>
      <c r="D243" s="40"/>
      <c r="E243" s="182"/>
      <c r="F243" s="183"/>
    </row>
    <row r="244" spans="1:6" s="55" customFormat="1">
      <c r="A244" s="17"/>
      <c r="B244" s="24"/>
      <c r="C244" s="29"/>
      <c r="D244" s="40"/>
      <c r="E244" s="182"/>
      <c r="F244" s="183"/>
    </row>
    <row r="245" spans="1:6" s="55" customFormat="1">
      <c r="A245" s="17"/>
      <c r="B245" s="24"/>
      <c r="C245" s="29"/>
      <c r="D245" s="40"/>
      <c r="E245" s="182"/>
      <c r="F245" s="183"/>
    </row>
    <row r="246" spans="1:6" s="55" customFormat="1" ht="307.5" customHeight="1">
      <c r="A246" s="17"/>
      <c r="B246" s="24"/>
      <c r="C246" s="29"/>
      <c r="D246" s="40"/>
      <c r="E246" s="182"/>
      <c r="F246" s="183"/>
    </row>
    <row r="247" spans="1:6" s="55" customFormat="1" ht="36.75" customHeight="1">
      <c r="A247" s="17"/>
      <c r="B247" s="24"/>
      <c r="C247" s="29"/>
      <c r="D247" s="40"/>
      <c r="E247" s="182"/>
      <c r="F247" s="183"/>
    </row>
    <row r="248" spans="1:6" s="55" customFormat="1" ht="37.5" customHeight="1">
      <c r="A248" s="17"/>
      <c r="B248" s="24"/>
      <c r="C248" s="29"/>
      <c r="D248" s="40"/>
      <c r="E248" s="182"/>
      <c r="F248" s="183"/>
    </row>
    <row r="249" spans="1:6" s="55" customFormat="1" ht="37.5" customHeight="1">
      <c r="A249" s="17"/>
      <c r="B249" s="24"/>
      <c r="C249" s="29"/>
      <c r="D249" s="40"/>
      <c r="E249" s="182"/>
      <c r="F249" s="183"/>
    </row>
    <row r="250" spans="1:6" s="55" customFormat="1" ht="34.5" customHeight="1">
      <c r="A250" s="17"/>
      <c r="B250" s="24"/>
      <c r="C250" s="29"/>
      <c r="D250" s="40"/>
      <c r="E250" s="182"/>
      <c r="F250" s="183"/>
    </row>
    <row r="251" spans="1:6" s="55" customFormat="1" ht="36" customHeight="1">
      <c r="A251" s="17"/>
      <c r="B251" s="24"/>
      <c r="C251" s="29"/>
      <c r="D251" s="40"/>
      <c r="E251" s="182"/>
      <c r="F251" s="183"/>
    </row>
    <row r="252" spans="1:6" s="55" customFormat="1" ht="30.75" customHeight="1">
      <c r="A252" s="17"/>
      <c r="B252" s="24"/>
      <c r="C252" s="29"/>
      <c r="D252" s="40"/>
      <c r="E252" s="182"/>
      <c r="F252" s="183"/>
    </row>
    <row r="253" spans="1:6" s="55" customFormat="1" ht="42" customHeight="1">
      <c r="A253" s="17"/>
      <c r="B253" s="24"/>
      <c r="C253" s="29"/>
      <c r="D253" s="40"/>
      <c r="E253" s="182"/>
      <c r="F253" s="183"/>
    </row>
    <row r="254" spans="1:6" s="55" customFormat="1">
      <c r="A254" s="17"/>
      <c r="B254" s="24"/>
      <c r="C254" s="29"/>
      <c r="D254" s="40"/>
      <c r="E254" s="182"/>
      <c r="F254" s="183"/>
    </row>
    <row r="255" spans="1:6" s="55" customFormat="1">
      <c r="A255" s="17"/>
      <c r="B255" s="24"/>
      <c r="C255" s="29"/>
      <c r="D255" s="40"/>
      <c r="E255" s="182"/>
      <c r="F255" s="183"/>
    </row>
    <row r="256" spans="1:6" s="55" customFormat="1">
      <c r="A256" s="17"/>
      <c r="B256" s="24"/>
      <c r="C256" s="29"/>
      <c r="D256" s="40"/>
      <c r="E256" s="182"/>
      <c r="F256" s="183"/>
    </row>
    <row r="257" spans="1:6" s="55" customFormat="1">
      <c r="A257" s="17"/>
      <c r="B257" s="24"/>
      <c r="C257" s="29"/>
      <c r="D257" s="40"/>
      <c r="E257" s="182"/>
      <c r="F257" s="183"/>
    </row>
    <row r="258" spans="1:6" s="55" customFormat="1">
      <c r="A258" s="17"/>
      <c r="B258" s="24"/>
      <c r="C258" s="29"/>
      <c r="D258" s="40"/>
      <c r="E258" s="182"/>
      <c r="F258" s="183"/>
    </row>
    <row r="259" spans="1:6" s="55" customFormat="1">
      <c r="A259" s="17"/>
      <c r="B259" s="24"/>
      <c r="C259" s="29"/>
      <c r="D259" s="40"/>
      <c r="E259" s="182"/>
      <c r="F259" s="183"/>
    </row>
    <row r="260" spans="1:6" s="55" customFormat="1">
      <c r="A260" s="17"/>
      <c r="B260" s="24"/>
      <c r="C260" s="29"/>
      <c r="D260" s="40"/>
      <c r="E260" s="182"/>
      <c r="F260" s="183"/>
    </row>
    <row r="261" spans="1:6" s="55" customFormat="1">
      <c r="A261" s="17"/>
      <c r="B261" s="24"/>
      <c r="C261" s="29"/>
      <c r="D261" s="40"/>
      <c r="E261" s="182"/>
      <c r="F261" s="183"/>
    </row>
    <row r="262" spans="1:6" s="55" customFormat="1">
      <c r="A262" s="17"/>
      <c r="B262" s="24"/>
      <c r="C262" s="29"/>
      <c r="D262" s="40"/>
      <c r="E262" s="182"/>
      <c r="F262" s="183"/>
    </row>
    <row r="263" spans="1:6" s="55" customFormat="1">
      <c r="A263" s="17"/>
      <c r="B263" s="24"/>
      <c r="C263" s="29"/>
      <c r="D263" s="40"/>
      <c r="E263" s="182"/>
      <c r="F263" s="183"/>
    </row>
    <row r="264" spans="1:6" s="55" customFormat="1">
      <c r="A264" s="17"/>
      <c r="B264" s="24"/>
      <c r="C264" s="29"/>
      <c r="D264" s="40"/>
      <c r="E264" s="182"/>
      <c r="F264" s="183"/>
    </row>
    <row r="265" spans="1:6" s="55" customFormat="1">
      <c r="A265" s="17"/>
      <c r="B265" s="24"/>
      <c r="C265" s="29"/>
      <c r="D265" s="40"/>
      <c r="E265" s="182"/>
      <c r="F265" s="183"/>
    </row>
    <row r="266" spans="1:6" s="55" customFormat="1">
      <c r="A266" s="17"/>
      <c r="B266" s="24"/>
      <c r="C266" s="29"/>
      <c r="D266" s="40"/>
      <c r="E266" s="182"/>
      <c r="F266" s="183"/>
    </row>
    <row r="267" spans="1:6" s="55" customFormat="1">
      <c r="A267" s="17"/>
      <c r="B267" s="24"/>
      <c r="C267" s="29"/>
      <c r="D267" s="40"/>
      <c r="E267" s="182"/>
      <c r="F267" s="183"/>
    </row>
    <row r="268" spans="1:6" s="55" customFormat="1">
      <c r="A268" s="17"/>
      <c r="B268" s="24"/>
      <c r="C268" s="29"/>
      <c r="D268" s="40"/>
      <c r="E268" s="182"/>
      <c r="F268" s="183"/>
    </row>
    <row r="269" spans="1:6" s="55" customFormat="1">
      <c r="A269" s="17"/>
      <c r="B269" s="24"/>
      <c r="C269" s="29"/>
      <c r="D269" s="40"/>
      <c r="E269" s="182"/>
      <c r="F269" s="183"/>
    </row>
    <row r="270" spans="1:6" s="55" customFormat="1">
      <c r="A270" s="17"/>
      <c r="B270" s="24"/>
      <c r="C270" s="29"/>
      <c r="D270" s="40"/>
      <c r="E270" s="182"/>
      <c r="F270" s="183"/>
    </row>
    <row r="271" spans="1:6" s="55" customFormat="1">
      <c r="A271" s="17"/>
      <c r="B271" s="24"/>
      <c r="C271" s="29"/>
      <c r="D271" s="40"/>
      <c r="E271" s="182"/>
      <c r="F271" s="183"/>
    </row>
    <row r="272" spans="1:6" s="55" customFormat="1">
      <c r="A272" s="17"/>
      <c r="B272" s="24"/>
      <c r="C272" s="29"/>
      <c r="D272" s="40"/>
      <c r="E272" s="182"/>
      <c r="F272" s="183"/>
    </row>
    <row r="273" spans="1:6" s="55" customFormat="1">
      <c r="A273" s="17"/>
      <c r="B273" s="24"/>
      <c r="C273" s="29"/>
      <c r="D273" s="40"/>
      <c r="E273" s="182"/>
      <c r="F273" s="183"/>
    </row>
    <row r="274" spans="1:6" s="55" customFormat="1">
      <c r="A274" s="17"/>
      <c r="B274" s="24"/>
      <c r="C274" s="29"/>
      <c r="D274" s="40"/>
      <c r="E274" s="182"/>
      <c r="F274" s="183"/>
    </row>
    <row r="275" spans="1:6" s="55" customFormat="1">
      <c r="A275" s="17"/>
      <c r="B275" s="24"/>
      <c r="C275" s="29"/>
      <c r="D275" s="40"/>
      <c r="E275" s="182"/>
      <c r="F275" s="183"/>
    </row>
    <row r="276" spans="1:6" s="55" customFormat="1">
      <c r="A276" s="17"/>
      <c r="B276" s="24"/>
      <c r="C276" s="29"/>
      <c r="D276" s="40"/>
      <c r="E276" s="182"/>
      <c r="F276" s="183"/>
    </row>
    <row r="277" spans="1:6" s="55" customFormat="1">
      <c r="A277" s="17"/>
      <c r="B277" s="24"/>
      <c r="C277" s="29"/>
      <c r="D277" s="40"/>
      <c r="E277" s="182"/>
      <c r="F277" s="183"/>
    </row>
    <row r="278" spans="1:6" s="55" customFormat="1">
      <c r="A278" s="17"/>
      <c r="B278" s="24"/>
      <c r="C278" s="29"/>
      <c r="D278" s="40"/>
      <c r="E278" s="182"/>
      <c r="F278" s="183"/>
    </row>
    <row r="279" spans="1:6" s="55" customFormat="1">
      <c r="A279" s="17"/>
      <c r="B279" s="24"/>
      <c r="C279" s="29"/>
      <c r="D279" s="40"/>
      <c r="E279" s="182"/>
      <c r="F279" s="183"/>
    </row>
    <row r="280" spans="1:6" s="55" customFormat="1">
      <c r="A280" s="17"/>
      <c r="B280" s="24"/>
      <c r="C280" s="29"/>
      <c r="D280" s="40"/>
      <c r="E280" s="182"/>
      <c r="F280" s="183"/>
    </row>
    <row r="281" spans="1:6" s="55" customFormat="1">
      <c r="A281" s="17"/>
      <c r="B281" s="24"/>
      <c r="C281" s="29"/>
      <c r="D281" s="40"/>
      <c r="E281" s="182"/>
      <c r="F281" s="183"/>
    </row>
    <row r="282" spans="1:6" s="55" customFormat="1">
      <c r="A282" s="17"/>
      <c r="B282" s="24"/>
      <c r="C282" s="29"/>
      <c r="D282" s="40"/>
      <c r="E282" s="182"/>
      <c r="F282" s="183"/>
    </row>
    <row r="283" spans="1:6" s="55" customFormat="1">
      <c r="A283" s="17"/>
      <c r="B283" s="24"/>
      <c r="C283" s="29"/>
      <c r="D283" s="40"/>
      <c r="E283" s="182"/>
      <c r="F283" s="183"/>
    </row>
    <row r="284" spans="1:6" s="55" customFormat="1">
      <c r="A284" s="17"/>
      <c r="B284" s="24"/>
      <c r="C284" s="29"/>
      <c r="D284" s="40"/>
      <c r="E284" s="182"/>
      <c r="F284" s="183"/>
    </row>
    <row r="285" spans="1:6" s="55" customFormat="1">
      <c r="A285" s="17"/>
      <c r="B285" s="24"/>
      <c r="C285" s="29"/>
      <c r="D285" s="40"/>
      <c r="E285" s="182"/>
      <c r="F285" s="183"/>
    </row>
    <row r="286" spans="1:6" s="55" customFormat="1">
      <c r="A286" s="17"/>
      <c r="B286" s="24"/>
      <c r="C286" s="29"/>
      <c r="D286" s="40"/>
      <c r="E286" s="182"/>
      <c r="F286" s="183"/>
    </row>
    <row r="287" spans="1:6" s="55" customFormat="1">
      <c r="A287" s="17"/>
      <c r="B287" s="24"/>
      <c r="C287" s="29"/>
      <c r="D287" s="40"/>
      <c r="E287" s="182"/>
      <c r="F287" s="183"/>
    </row>
    <row r="288" spans="1:6" s="55" customFormat="1">
      <c r="A288" s="17"/>
      <c r="B288" s="24"/>
      <c r="C288" s="29"/>
      <c r="D288" s="40"/>
      <c r="E288" s="182"/>
      <c r="F288" s="183"/>
    </row>
    <row r="289" spans="1:6" s="55" customFormat="1">
      <c r="A289" s="17"/>
      <c r="B289" s="24"/>
      <c r="C289" s="29"/>
      <c r="D289" s="40"/>
      <c r="E289" s="182"/>
      <c r="F289" s="183"/>
    </row>
    <row r="290" spans="1:6" s="55" customFormat="1">
      <c r="A290" s="17"/>
      <c r="B290" s="24"/>
      <c r="C290" s="29"/>
      <c r="D290" s="40"/>
      <c r="E290" s="182"/>
      <c r="F290" s="183"/>
    </row>
    <row r="291" spans="1:6" s="55" customFormat="1">
      <c r="A291" s="17"/>
      <c r="B291" s="24"/>
      <c r="C291" s="29"/>
      <c r="D291" s="40"/>
      <c r="E291" s="182"/>
      <c r="F291" s="183"/>
    </row>
    <row r="292" spans="1:6" s="55" customFormat="1">
      <c r="A292" s="17"/>
      <c r="B292" s="24"/>
      <c r="C292" s="29"/>
      <c r="D292" s="40"/>
      <c r="E292" s="182"/>
      <c r="F292" s="183"/>
    </row>
    <row r="293" spans="1:6" s="55" customFormat="1">
      <c r="A293" s="17"/>
      <c r="B293" s="24"/>
      <c r="C293" s="29"/>
      <c r="D293" s="40"/>
      <c r="E293" s="182"/>
      <c r="F293" s="183"/>
    </row>
    <row r="294" spans="1:6" s="55" customFormat="1">
      <c r="A294" s="17"/>
      <c r="B294" s="24"/>
      <c r="C294" s="29"/>
      <c r="D294" s="40"/>
      <c r="E294" s="182"/>
      <c r="F294" s="183"/>
    </row>
    <row r="295" spans="1:6" s="55" customFormat="1">
      <c r="A295" s="17"/>
      <c r="B295" s="24"/>
      <c r="C295" s="29"/>
      <c r="D295" s="40"/>
      <c r="E295" s="182"/>
      <c r="F295" s="183"/>
    </row>
    <row r="296" spans="1:6" s="55" customFormat="1">
      <c r="A296" s="17"/>
      <c r="B296" s="24"/>
      <c r="C296" s="29"/>
      <c r="D296" s="40"/>
      <c r="E296" s="182"/>
      <c r="F296" s="183"/>
    </row>
    <row r="297" spans="1:6" s="55" customFormat="1">
      <c r="A297" s="17"/>
      <c r="B297" s="24"/>
      <c r="C297" s="29"/>
      <c r="D297" s="40"/>
      <c r="E297" s="182"/>
      <c r="F297" s="183"/>
    </row>
    <row r="298" spans="1:6" s="55" customFormat="1">
      <c r="A298" s="17"/>
      <c r="B298" s="24"/>
      <c r="C298" s="29"/>
      <c r="D298" s="40"/>
      <c r="E298" s="182"/>
      <c r="F298" s="183"/>
    </row>
    <row r="299" spans="1:6" s="55" customFormat="1">
      <c r="A299" s="17"/>
      <c r="B299" s="24"/>
      <c r="C299" s="29"/>
      <c r="D299" s="40"/>
      <c r="E299" s="182"/>
      <c r="F299" s="183"/>
    </row>
    <row r="300" spans="1:6" s="55" customFormat="1">
      <c r="A300" s="17"/>
      <c r="B300" s="24"/>
      <c r="C300" s="29"/>
      <c r="D300" s="40"/>
      <c r="E300" s="182"/>
      <c r="F300" s="183"/>
    </row>
    <row r="301" spans="1:6" s="55" customFormat="1">
      <c r="A301" s="17"/>
      <c r="B301" s="24"/>
      <c r="C301" s="29"/>
      <c r="D301" s="40"/>
      <c r="E301" s="182"/>
      <c r="F301" s="183"/>
    </row>
    <row r="302" spans="1:6" s="55" customFormat="1">
      <c r="A302" s="17"/>
      <c r="B302" s="24"/>
      <c r="C302" s="29"/>
      <c r="D302" s="40"/>
      <c r="E302" s="182"/>
      <c r="F302" s="183"/>
    </row>
    <row r="303" spans="1:6" s="55" customFormat="1">
      <c r="A303" s="17"/>
      <c r="B303" s="24"/>
      <c r="C303" s="29"/>
      <c r="D303" s="40"/>
      <c r="E303" s="182"/>
      <c r="F303" s="183"/>
    </row>
    <row r="304" spans="1:6" s="55" customFormat="1">
      <c r="A304" s="17"/>
      <c r="B304" s="1"/>
      <c r="C304" s="29"/>
      <c r="D304" s="40"/>
      <c r="E304" s="182"/>
      <c r="F304" s="183"/>
    </row>
    <row r="305" spans="1:6" s="55" customFormat="1">
      <c r="A305" s="17"/>
      <c r="B305" s="1"/>
      <c r="C305" s="29"/>
      <c r="D305" s="40"/>
      <c r="E305" s="182"/>
      <c r="F305" s="183"/>
    </row>
    <row r="306" spans="1:6" s="55" customFormat="1">
      <c r="A306" s="17"/>
      <c r="B306" s="1"/>
      <c r="C306" s="29"/>
      <c r="D306" s="40"/>
      <c r="E306" s="182"/>
      <c r="F306" s="183"/>
    </row>
    <row r="307" spans="1:6" s="55" customFormat="1">
      <c r="A307" s="17"/>
      <c r="B307" s="1"/>
      <c r="C307" s="29"/>
      <c r="D307" s="40"/>
      <c r="E307" s="182"/>
      <c r="F307" s="183"/>
    </row>
    <row r="308" spans="1:6" s="55" customFormat="1">
      <c r="A308" s="17"/>
      <c r="B308" s="1"/>
      <c r="C308" s="29"/>
      <c r="D308" s="40"/>
      <c r="E308" s="182"/>
      <c r="F308" s="183"/>
    </row>
    <row r="309" spans="1:6" s="55" customFormat="1">
      <c r="A309" s="17"/>
      <c r="B309" s="1"/>
      <c r="C309" s="29"/>
      <c r="D309" s="40"/>
      <c r="E309" s="182"/>
      <c r="F309" s="183"/>
    </row>
    <row r="310" spans="1:6" s="55" customFormat="1">
      <c r="A310" s="17"/>
      <c r="B310" s="1"/>
      <c r="C310" s="29"/>
      <c r="D310" s="40"/>
      <c r="E310" s="182"/>
      <c r="F310" s="183"/>
    </row>
    <row r="311" spans="1:6" s="55" customFormat="1">
      <c r="A311" s="17"/>
      <c r="B311" s="1"/>
      <c r="C311" s="29"/>
      <c r="D311" s="40"/>
      <c r="E311" s="182"/>
      <c r="F311" s="183"/>
    </row>
    <row r="312" spans="1:6" s="55" customFormat="1">
      <c r="A312" s="17"/>
      <c r="B312" s="1"/>
      <c r="C312" s="29"/>
      <c r="D312" s="40"/>
      <c r="E312" s="182"/>
      <c r="F312" s="183"/>
    </row>
    <row r="313" spans="1:6" s="55" customFormat="1">
      <c r="A313" s="17"/>
      <c r="B313" s="1"/>
      <c r="C313" s="29"/>
      <c r="D313" s="40"/>
      <c r="E313" s="182"/>
      <c r="F313" s="183"/>
    </row>
    <row r="314" spans="1:6" s="55" customFormat="1">
      <c r="A314" s="17"/>
      <c r="B314" s="1"/>
      <c r="C314" s="29"/>
      <c r="D314" s="40"/>
      <c r="E314" s="182"/>
      <c r="F314" s="183"/>
    </row>
    <row r="315" spans="1:6" s="55" customFormat="1">
      <c r="A315" s="17"/>
      <c r="B315" s="1"/>
      <c r="C315" s="29"/>
      <c r="D315" s="40"/>
      <c r="E315" s="182"/>
      <c r="F315" s="183"/>
    </row>
    <row r="316" spans="1:6" s="55" customFormat="1">
      <c r="A316" s="17"/>
      <c r="B316" s="1"/>
      <c r="C316" s="29"/>
      <c r="D316" s="40"/>
      <c r="E316" s="182"/>
      <c r="F316" s="183"/>
    </row>
    <row r="317" spans="1:6" s="55" customFormat="1">
      <c r="A317" s="17"/>
      <c r="B317" s="1"/>
      <c r="C317" s="29"/>
      <c r="D317" s="40"/>
      <c r="E317" s="182"/>
      <c r="F317" s="183"/>
    </row>
    <row r="318" spans="1:6" s="55" customFormat="1">
      <c r="A318" s="17"/>
      <c r="B318" s="1"/>
      <c r="C318" s="29"/>
      <c r="D318" s="40"/>
      <c r="E318" s="182"/>
      <c r="F318" s="183"/>
    </row>
    <row r="319" spans="1:6" s="55" customFormat="1">
      <c r="A319" s="17"/>
      <c r="B319" s="1"/>
      <c r="C319" s="29"/>
      <c r="D319" s="40"/>
      <c r="E319" s="182"/>
      <c r="F319" s="183"/>
    </row>
    <row r="320" spans="1:6" s="55" customFormat="1">
      <c r="A320" s="17"/>
      <c r="B320" s="1"/>
      <c r="C320" s="29"/>
      <c r="D320" s="40"/>
      <c r="E320" s="182"/>
      <c r="F320" s="183"/>
    </row>
    <row r="321" spans="1:6" s="55" customFormat="1">
      <c r="A321" s="17"/>
      <c r="B321" s="1"/>
      <c r="C321" s="29"/>
      <c r="D321" s="40"/>
      <c r="E321" s="182"/>
      <c r="F321" s="183"/>
    </row>
    <row r="322" spans="1:6" s="55" customFormat="1">
      <c r="A322" s="17"/>
      <c r="B322" s="1"/>
      <c r="C322" s="29"/>
      <c r="D322" s="40"/>
      <c r="E322" s="182"/>
      <c r="F322" s="183"/>
    </row>
    <row r="323" spans="1:6" s="55" customFormat="1">
      <c r="A323" s="17"/>
      <c r="B323" s="1"/>
      <c r="C323" s="29"/>
      <c r="D323" s="40"/>
      <c r="E323" s="182"/>
      <c r="F323" s="183"/>
    </row>
    <row r="324" spans="1:6" s="55" customFormat="1">
      <c r="A324" s="17"/>
      <c r="B324" s="1"/>
      <c r="C324" s="29"/>
      <c r="D324" s="40"/>
      <c r="E324" s="182"/>
      <c r="F324" s="183"/>
    </row>
    <row r="325" spans="1:6" s="55" customFormat="1">
      <c r="A325" s="17"/>
      <c r="B325" s="1"/>
      <c r="C325" s="29"/>
      <c r="D325" s="40"/>
      <c r="E325" s="182"/>
      <c r="F325" s="183"/>
    </row>
    <row r="326" spans="1:6" s="55" customFormat="1">
      <c r="A326" s="17"/>
      <c r="B326" s="1"/>
      <c r="C326" s="29"/>
      <c r="D326" s="40"/>
      <c r="E326" s="182"/>
      <c r="F326" s="183"/>
    </row>
    <row r="327" spans="1:6" s="55" customFormat="1">
      <c r="A327" s="17"/>
      <c r="B327" s="1"/>
      <c r="C327" s="29"/>
      <c r="D327" s="40"/>
      <c r="E327" s="182"/>
      <c r="F327" s="183"/>
    </row>
    <row r="328" spans="1:6" s="55" customFormat="1">
      <c r="A328" s="17"/>
      <c r="B328" s="1"/>
      <c r="C328" s="29"/>
      <c r="D328" s="40"/>
      <c r="E328" s="182"/>
      <c r="F328" s="183"/>
    </row>
    <row r="329" spans="1:6" s="55" customFormat="1">
      <c r="A329" s="17"/>
      <c r="B329" s="1"/>
      <c r="C329" s="29"/>
      <c r="D329" s="40"/>
      <c r="E329" s="182"/>
      <c r="F329" s="183"/>
    </row>
    <row r="330" spans="1:6" s="55" customFormat="1">
      <c r="A330" s="17"/>
      <c r="B330" s="1"/>
      <c r="C330" s="29"/>
      <c r="D330" s="40"/>
      <c r="E330" s="182"/>
      <c r="F330" s="183"/>
    </row>
    <row r="331" spans="1:6" s="55" customFormat="1">
      <c r="A331" s="17"/>
      <c r="B331" s="1"/>
      <c r="C331" s="29"/>
      <c r="D331" s="40"/>
      <c r="E331" s="182"/>
      <c r="F331" s="183"/>
    </row>
    <row r="332" spans="1:6" s="55" customFormat="1">
      <c r="A332" s="17"/>
      <c r="B332" s="1"/>
      <c r="C332" s="29"/>
      <c r="D332" s="40"/>
      <c r="E332" s="182"/>
      <c r="F332" s="183"/>
    </row>
    <row r="333" spans="1:6" s="55" customFormat="1">
      <c r="A333" s="17"/>
      <c r="B333" s="1"/>
      <c r="C333" s="29"/>
      <c r="D333" s="40"/>
      <c r="E333" s="182"/>
      <c r="F333" s="183"/>
    </row>
    <row r="334" spans="1:6" s="55" customFormat="1">
      <c r="A334" s="17"/>
      <c r="B334" s="1"/>
      <c r="C334" s="29"/>
      <c r="D334" s="40"/>
      <c r="E334" s="182"/>
      <c r="F334" s="183"/>
    </row>
    <row r="335" spans="1:6" s="55" customFormat="1">
      <c r="A335" s="17"/>
      <c r="B335" s="1"/>
      <c r="C335" s="29"/>
      <c r="D335" s="40"/>
      <c r="E335" s="182"/>
      <c r="F335" s="183"/>
    </row>
    <row r="336" spans="1:6" s="55" customFormat="1">
      <c r="A336" s="17"/>
      <c r="B336" s="24"/>
      <c r="C336" s="29"/>
      <c r="D336" s="40"/>
      <c r="E336" s="182"/>
      <c r="F336" s="183"/>
    </row>
    <row r="337" spans="1:6" s="55" customFormat="1">
      <c r="A337" s="17"/>
      <c r="B337" s="24"/>
      <c r="C337" s="29"/>
      <c r="D337" s="40"/>
      <c r="E337" s="182"/>
      <c r="F337" s="183"/>
    </row>
    <row r="338" spans="1:6" s="55" customFormat="1">
      <c r="A338" s="17"/>
      <c r="B338" s="24"/>
      <c r="C338" s="29"/>
      <c r="D338" s="40"/>
      <c r="E338" s="182"/>
      <c r="F338" s="183"/>
    </row>
    <row r="339" spans="1:6" s="55" customFormat="1">
      <c r="A339" s="17"/>
      <c r="B339" s="24"/>
      <c r="C339" s="29"/>
      <c r="D339" s="40"/>
      <c r="E339" s="182"/>
      <c r="F339" s="183"/>
    </row>
    <row r="340" spans="1:6" s="55" customFormat="1">
      <c r="A340" s="17"/>
      <c r="B340" s="24"/>
      <c r="C340" s="29"/>
      <c r="D340" s="40"/>
      <c r="E340" s="182"/>
      <c r="F340" s="183"/>
    </row>
    <row r="341" spans="1:6" s="55" customFormat="1">
      <c r="A341" s="17"/>
      <c r="B341" s="24"/>
      <c r="C341" s="29"/>
      <c r="D341" s="40"/>
      <c r="E341" s="182"/>
      <c r="F341" s="183"/>
    </row>
    <row r="342" spans="1:6" s="55" customFormat="1">
      <c r="A342" s="17"/>
      <c r="B342" s="24"/>
      <c r="C342" s="29"/>
      <c r="D342" s="40"/>
      <c r="E342" s="182"/>
      <c r="F342" s="183"/>
    </row>
    <row r="343" spans="1:6" s="55" customFormat="1">
      <c r="A343" s="17"/>
      <c r="B343" s="24"/>
      <c r="C343" s="29"/>
      <c r="D343" s="40"/>
      <c r="E343" s="182"/>
      <c r="F343" s="183"/>
    </row>
    <row r="344" spans="1:6" s="55" customFormat="1">
      <c r="A344" s="17"/>
      <c r="B344" s="24"/>
      <c r="C344" s="29"/>
      <c r="D344" s="40"/>
      <c r="E344" s="182"/>
      <c r="F344" s="183"/>
    </row>
    <row r="345" spans="1:6" s="55" customFormat="1">
      <c r="A345" s="17"/>
      <c r="B345" s="24"/>
      <c r="C345" s="29"/>
      <c r="D345" s="40"/>
      <c r="E345" s="182"/>
      <c r="F345" s="183"/>
    </row>
    <row r="346" spans="1:6" s="55" customFormat="1">
      <c r="A346" s="17"/>
      <c r="B346" s="24"/>
      <c r="C346" s="29"/>
      <c r="D346" s="40"/>
      <c r="E346" s="182"/>
      <c r="F346" s="183"/>
    </row>
    <row r="347" spans="1:6" s="55" customFormat="1">
      <c r="A347" s="17"/>
      <c r="B347" s="24"/>
      <c r="C347" s="29"/>
      <c r="D347" s="40"/>
      <c r="E347" s="182"/>
      <c r="F347" s="183"/>
    </row>
    <row r="348" spans="1:6" s="55" customFormat="1">
      <c r="A348" s="17"/>
      <c r="B348" s="24"/>
      <c r="C348" s="29"/>
      <c r="D348" s="40"/>
      <c r="E348" s="182"/>
      <c r="F348" s="183"/>
    </row>
    <row r="349" spans="1:6" s="55" customFormat="1">
      <c r="A349" s="17"/>
      <c r="B349" s="24"/>
      <c r="C349" s="29"/>
      <c r="D349" s="40"/>
      <c r="E349" s="182"/>
      <c r="F349" s="183"/>
    </row>
    <row r="350" spans="1:6" s="55" customFormat="1">
      <c r="A350" s="17"/>
      <c r="B350" s="24"/>
      <c r="C350" s="29"/>
      <c r="D350" s="40"/>
      <c r="E350" s="182"/>
      <c r="F350" s="183"/>
    </row>
    <row r="351" spans="1:6" s="55" customFormat="1">
      <c r="A351" s="17"/>
      <c r="B351" s="24"/>
      <c r="C351" s="29"/>
      <c r="D351" s="40"/>
      <c r="E351" s="182"/>
      <c r="F351" s="183"/>
    </row>
    <row r="352" spans="1:6" s="55" customFormat="1">
      <c r="A352" s="17"/>
      <c r="B352" s="24"/>
      <c r="C352" s="29"/>
      <c r="D352" s="40"/>
      <c r="E352" s="182"/>
      <c r="F352" s="183"/>
    </row>
    <row r="353" spans="1:6" s="55" customFormat="1">
      <c r="A353" s="17"/>
      <c r="B353" s="24"/>
      <c r="C353" s="29"/>
      <c r="D353" s="40"/>
      <c r="E353" s="182"/>
      <c r="F353" s="183"/>
    </row>
    <row r="354" spans="1:6" s="55" customFormat="1">
      <c r="A354" s="17"/>
      <c r="B354" s="24"/>
      <c r="C354" s="29"/>
      <c r="D354" s="40"/>
      <c r="E354" s="182"/>
      <c r="F354" s="183"/>
    </row>
    <row r="355" spans="1:6" s="55" customFormat="1">
      <c r="A355" s="17"/>
      <c r="B355" s="24"/>
      <c r="C355" s="29"/>
      <c r="D355" s="40"/>
      <c r="E355" s="182"/>
      <c r="F355" s="183"/>
    </row>
    <row r="356" spans="1:6" s="55" customFormat="1">
      <c r="A356" s="17"/>
      <c r="B356" s="24"/>
      <c r="C356" s="29"/>
      <c r="D356" s="40"/>
      <c r="E356" s="182"/>
      <c r="F356" s="183"/>
    </row>
    <row r="357" spans="1:6" s="55" customFormat="1">
      <c r="A357" s="17"/>
      <c r="B357" s="24"/>
      <c r="C357" s="29"/>
      <c r="D357" s="40"/>
      <c r="E357" s="182"/>
      <c r="F357" s="183"/>
    </row>
    <row r="358" spans="1:6" s="55" customFormat="1">
      <c r="A358" s="17"/>
      <c r="B358" s="24"/>
      <c r="C358" s="29"/>
      <c r="D358" s="40"/>
      <c r="E358" s="182"/>
      <c r="F358" s="183"/>
    </row>
    <row r="359" spans="1:6" s="55" customFormat="1">
      <c r="A359" s="17"/>
      <c r="B359" s="24"/>
      <c r="C359" s="29"/>
      <c r="D359" s="40"/>
      <c r="E359" s="182"/>
      <c r="F359" s="183"/>
    </row>
    <row r="360" spans="1:6" s="55" customFormat="1">
      <c r="A360" s="17"/>
      <c r="B360" s="24"/>
      <c r="C360" s="29"/>
      <c r="D360" s="40"/>
      <c r="E360" s="182"/>
      <c r="F360" s="183"/>
    </row>
    <row r="361" spans="1:6" s="55" customFormat="1">
      <c r="A361" s="17"/>
      <c r="B361" s="24"/>
      <c r="C361" s="29"/>
      <c r="D361" s="40"/>
      <c r="E361" s="182"/>
      <c r="F361" s="183"/>
    </row>
    <row r="362" spans="1:6" s="55" customFormat="1">
      <c r="A362" s="17"/>
      <c r="B362" s="24"/>
      <c r="C362" s="29"/>
      <c r="D362" s="40"/>
      <c r="E362" s="182"/>
      <c r="F362" s="183"/>
    </row>
    <row r="363" spans="1:6" s="55" customFormat="1">
      <c r="A363" s="17"/>
      <c r="B363" s="24"/>
      <c r="C363" s="29"/>
      <c r="D363" s="40"/>
      <c r="E363" s="182"/>
      <c r="F363" s="183"/>
    </row>
    <row r="364" spans="1:6" s="55" customFormat="1">
      <c r="A364" s="17"/>
      <c r="B364" s="24"/>
      <c r="C364" s="29"/>
      <c r="D364" s="40"/>
      <c r="E364" s="182"/>
      <c r="F364" s="183"/>
    </row>
    <row r="365" spans="1:6" s="55" customFormat="1">
      <c r="A365" s="17"/>
      <c r="B365" s="24"/>
      <c r="C365" s="29"/>
      <c r="D365" s="40"/>
      <c r="E365" s="182"/>
      <c r="F365" s="183"/>
    </row>
    <row r="366" spans="1:6" s="55" customFormat="1">
      <c r="A366" s="17"/>
      <c r="B366" s="24"/>
      <c r="C366" s="29"/>
      <c r="D366" s="40"/>
      <c r="E366" s="182"/>
      <c r="F366" s="183"/>
    </row>
    <row r="367" spans="1:6" s="55" customFormat="1">
      <c r="A367" s="17"/>
      <c r="B367" s="24"/>
      <c r="C367" s="29"/>
      <c r="D367" s="40"/>
      <c r="E367" s="182"/>
      <c r="F367" s="183"/>
    </row>
    <row r="368" spans="1:6" s="55" customFormat="1">
      <c r="A368" s="17"/>
      <c r="B368" s="24"/>
      <c r="C368" s="29"/>
      <c r="D368" s="40"/>
      <c r="E368" s="182"/>
      <c r="F368" s="183"/>
    </row>
    <row r="369" spans="1:6" s="55" customFormat="1">
      <c r="A369" s="17"/>
      <c r="B369" s="24"/>
      <c r="C369" s="29"/>
      <c r="D369" s="40"/>
      <c r="E369" s="182"/>
      <c r="F369" s="183"/>
    </row>
    <row r="370" spans="1:6" s="55" customFormat="1">
      <c r="A370" s="17"/>
      <c r="B370" s="24"/>
      <c r="C370" s="29"/>
      <c r="D370" s="40"/>
      <c r="E370" s="182"/>
      <c r="F370" s="183"/>
    </row>
    <row r="371" spans="1:6" s="55" customFormat="1">
      <c r="A371" s="17"/>
      <c r="B371" s="24"/>
      <c r="C371" s="29"/>
      <c r="D371" s="40"/>
      <c r="E371" s="182"/>
      <c r="F371" s="183"/>
    </row>
    <row r="372" spans="1:6" s="55" customFormat="1">
      <c r="A372" s="17"/>
      <c r="B372" s="24"/>
      <c r="C372" s="29"/>
      <c r="D372" s="40"/>
      <c r="E372" s="182"/>
      <c r="F372" s="183"/>
    </row>
    <row r="373" spans="1:6" s="55" customFormat="1">
      <c r="A373" s="17"/>
      <c r="B373" s="24"/>
      <c r="C373" s="29"/>
      <c r="D373" s="40"/>
      <c r="E373" s="182"/>
      <c r="F373" s="183"/>
    </row>
    <row r="374" spans="1:6" s="55" customFormat="1">
      <c r="A374" s="17"/>
      <c r="B374" s="24"/>
      <c r="C374" s="29"/>
      <c r="D374" s="40"/>
      <c r="E374" s="182"/>
      <c r="F374" s="183"/>
    </row>
    <row r="375" spans="1:6" s="55" customFormat="1">
      <c r="A375" s="17"/>
      <c r="B375" s="24"/>
      <c r="C375" s="29"/>
      <c r="D375" s="40"/>
      <c r="E375" s="182"/>
      <c r="F375" s="183"/>
    </row>
    <row r="376" spans="1:6" s="55" customFormat="1">
      <c r="A376" s="17"/>
      <c r="B376" s="24"/>
      <c r="C376" s="29"/>
      <c r="D376" s="40"/>
      <c r="E376" s="182"/>
      <c r="F376" s="183"/>
    </row>
    <row r="377" spans="1:6" s="55" customFormat="1">
      <c r="A377" s="17"/>
      <c r="B377" s="24"/>
      <c r="C377" s="29"/>
      <c r="D377" s="40"/>
      <c r="E377" s="182"/>
      <c r="F377" s="183"/>
    </row>
    <row r="378" spans="1:6" s="55" customFormat="1">
      <c r="A378" s="17"/>
      <c r="B378" s="24"/>
      <c r="C378" s="29"/>
      <c r="D378" s="40"/>
      <c r="E378" s="182"/>
      <c r="F378" s="183"/>
    </row>
    <row r="379" spans="1:6" s="55" customFormat="1">
      <c r="A379" s="17"/>
      <c r="B379" s="24"/>
      <c r="C379" s="29"/>
      <c r="D379" s="40"/>
      <c r="E379" s="182"/>
      <c r="F379" s="183"/>
    </row>
    <row r="380" spans="1:6" s="55" customFormat="1">
      <c r="A380" s="17"/>
      <c r="B380" s="24"/>
      <c r="C380" s="29"/>
      <c r="D380" s="40"/>
      <c r="E380" s="182"/>
      <c r="F380" s="183"/>
    </row>
    <row r="381" spans="1:6" s="55" customFormat="1">
      <c r="A381" s="17"/>
      <c r="B381" s="24"/>
      <c r="C381" s="29"/>
      <c r="D381" s="40"/>
      <c r="E381" s="182"/>
      <c r="F381" s="183"/>
    </row>
    <row r="382" spans="1:6" s="55" customFormat="1">
      <c r="A382" s="17"/>
      <c r="B382" s="24"/>
      <c r="C382" s="29"/>
      <c r="D382" s="40"/>
      <c r="E382" s="182"/>
      <c r="F382" s="183"/>
    </row>
    <row r="383" spans="1:6" s="55" customFormat="1">
      <c r="A383" s="17"/>
      <c r="B383" s="24"/>
      <c r="C383" s="29"/>
      <c r="D383" s="40"/>
      <c r="E383" s="182"/>
      <c r="F383" s="183"/>
    </row>
    <row r="384" spans="1:6" s="55" customFormat="1">
      <c r="A384" s="17"/>
      <c r="B384" s="24"/>
      <c r="C384" s="29"/>
      <c r="D384" s="40"/>
      <c r="E384" s="182"/>
      <c r="F384" s="183"/>
    </row>
    <row r="385" spans="1:6" s="55" customFormat="1">
      <c r="A385" s="17"/>
      <c r="B385" s="24"/>
      <c r="C385" s="29"/>
      <c r="D385" s="40"/>
      <c r="E385" s="182"/>
      <c r="F385" s="183"/>
    </row>
    <row r="386" spans="1:6" s="55" customFormat="1">
      <c r="A386" s="17"/>
      <c r="B386" s="24"/>
      <c r="C386" s="29"/>
      <c r="D386" s="40"/>
      <c r="E386" s="182"/>
      <c r="F386" s="183"/>
    </row>
    <row r="387" spans="1:6" s="55" customFormat="1">
      <c r="A387" s="17"/>
      <c r="B387" s="24"/>
      <c r="C387" s="29"/>
      <c r="D387" s="40"/>
      <c r="E387" s="182"/>
      <c r="F387" s="183"/>
    </row>
    <row r="388" spans="1:6" s="55" customFormat="1">
      <c r="A388" s="17"/>
      <c r="B388" s="24"/>
      <c r="C388" s="29"/>
      <c r="D388" s="40"/>
      <c r="E388" s="182"/>
      <c r="F388" s="183"/>
    </row>
    <row r="389" spans="1:6" s="55" customFormat="1">
      <c r="A389" s="17"/>
      <c r="B389" s="24"/>
      <c r="C389" s="29"/>
      <c r="D389" s="40"/>
      <c r="E389" s="182"/>
      <c r="F389" s="183"/>
    </row>
    <row r="390" spans="1:6" s="55" customFormat="1">
      <c r="A390" s="17"/>
      <c r="B390" s="24"/>
      <c r="C390" s="29"/>
      <c r="D390" s="40"/>
      <c r="E390" s="182"/>
      <c r="F390" s="183"/>
    </row>
    <row r="391" spans="1:6" s="55" customFormat="1">
      <c r="A391" s="17"/>
      <c r="B391" s="24"/>
      <c r="C391" s="29"/>
      <c r="D391" s="40"/>
      <c r="E391" s="182"/>
      <c r="F391" s="183"/>
    </row>
    <row r="392" spans="1:6" s="55" customFormat="1">
      <c r="A392" s="17"/>
      <c r="B392" s="24"/>
      <c r="C392" s="29"/>
      <c r="D392" s="40"/>
      <c r="E392" s="182"/>
      <c r="F392" s="183"/>
    </row>
    <row r="393" spans="1:6" s="55" customFormat="1">
      <c r="A393" s="17"/>
      <c r="B393" s="24"/>
      <c r="C393" s="29"/>
      <c r="D393" s="40"/>
      <c r="E393" s="182"/>
      <c r="F393" s="183"/>
    </row>
    <row r="394" spans="1:6" s="55" customFormat="1">
      <c r="A394" s="17"/>
      <c r="B394" s="24"/>
      <c r="C394" s="29"/>
      <c r="D394" s="40"/>
      <c r="E394" s="182"/>
      <c r="F394" s="183"/>
    </row>
    <row r="395" spans="1:6" s="55" customFormat="1">
      <c r="A395" s="17"/>
      <c r="B395" s="24"/>
      <c r="C395" s="29"/>
      <c r="D395" s="40"/>
      <c r="E395" s="182"/>
      <c r="F395" s="183"/>
    </row>
    <row r="396" spans="1:6" s="55" customFormat="1">
      <c r="A396" s="17"/>
      <c r="B396" s="24"/>
      <c r="C396" s="29"/>
      <c r="D396" s="40"/>
      <c r="E396" s="182"/>
      <c r="F396" s="183"/>
    </row>
    <row r="397" spans="1:6" s="55" customFormat="1">
      <c r="A397" s="17"/>
      <c r="B397" s="24"/>
      <c r="C397" s="29"/>
      <c r="D397" s="40"/>
      <c r="E397" s="182"/>
      <c r="F397" s="183"/>
    </row>
    <row r="398" spans="1:6" s="55" customFormat="1">
      <c r="A398" s="17"/>
      <c r="B398" s="24"/>
      <c r="C398" s="29"/>
      <c r="D398" s="40"/>
      <c r="E398" s="182"/>
      <c r="F398" s="183"/>
    </row>
    <row r="399" spans="1:6" s="55" customFormat="1">
      <c r="A399" s="17"/>
      <c r="B399" s="24"/>
      <c r="C399" s="29"/>
      <c r="D399" s="40"/>
      <c r="E399" s="182"/>
      <c r="F399" s="183"/>
    </row>
    <row r="400" spans="1:6" s="55" customFormat="1">
      <c r="A400" s="17"/>
      <c r="B400" s="24"/>
      <c r="C400" s="29"/>
      <c r="D400" s="40"/>
      <c r="E400" s="182"/>
      <c r="F400" s="183"/>
    </row>
    <row r="401" spans="1:6" s="55" customFormat="1">
      <c r="A401" s="17"/>
      <c r="B401" s="24"/>
      <c r="C401" s="29"/>
      <c r="D401" s="40"/>
      <c r="E401" s="182"/>
      <c r="F401" s="183"/>
    </row>
    <row r="402" spans="1:6" s="55" customFormat="1">
      <c r="A402" s="17"/>
      <c r="B402" s="24"/>
      <c r="C402" s="29"/>
      <c r="D402" s="40"/>
      <c r="E402" s="182"/>
      <c r="F402" s="183"/>
    </row>
    <row r="403" spans="1:6" s="55" customFormat="1">
      <c r="A403" s="17"/>
      <c r="B403" s="24"/>
      <c r="C403" s="29"/>
      <c r="D403" s="40"/>
      <c r="E403" s="182"/>
      <c r="F403" s="183"/>
    </row>
    <row r="404" spans="1:6" s="55" customFormat="1">
      <c r="A404" s="17"/>
      <c r="B404" s="24"/>
      <c r="C404" s="29"/>
      <c r="D404" s="40"/>
      <c r="E404" s="182"/>
      <c r="F404" s="183"/>
    </row>
    <row r="405" spans="1:6" s="55" customFormat="1">
      <c r="A405" s="17"/>
      <c r="B405" s="24"/>
      <c r="C405" s="29"/>
      <c r="D405" s="40"/>
      <c r="E405" s="182"/>
      <c r="F405" s="183"/>
    </row>
    <row r="406" spans="1:6" s="55" customFormat="1">
      <c r="A406" s="17"/>
      <c r="B406" s="24"/>
      <c r="C406" s="29"/>
      <c r="D406" s="40"/>
      <c r="E406" s="182"/>
      <c r="F406" s="183"/>
    </row>
    <row r="407" spans="1:6" s="55" customFormat="1">
      <c r="A407" s="17"/>
      <c r="B407" s="24"/>
      <c r="C407" s="29"/>
      <c r="D407" s="40"/>
      <c r="E407" s="182"/>
      <c r="F407" s="183"/>
    </row>
    <row r="408" spans="1:6" s="55" customFormat="1">
      <c r="A408" s="17"/>
      <c r="B408" s="24"/>
      <c r="C408" s="29"/>
      <c r="D408" s="40"/>
      <c r="E408" s="182"/>
      <c r="F408" s="183"/>
    </row>
    <row r="409" spans="1:6" s="55" customFormat="1">
      <c r="A409" s="17"/>
      <c r="B409" s="24"/>
      <c r="C409" s="29"/>
      <c r="D409" s="40"/>
      <c r="E409" s="182"/>
      <c r="F409" s="183"/>
    </row>
    <row r="410" spans="1:6" s="55" customFormat="1">
      <c r="A410" s="17"/>
      <c r="B410" s="24"/>
      <c r="C410" s="29"/>
      <c r="D410" s="40"/>
      <c r="E410" s="182"/>
      <c r="F410" s="183"/>
    </row>
    <row r="411" spans="1:6" s="55" customFormat="1">
      <c r="A411" s="17"/>
      <c r="B411" s="24"/>
      <c r="C411" s="29"/>
      <c r="D411" s="40"/>
      <c r="E411" s="182"/>
      <c r="F411" s="183"/>
    </row>
    <row r="412" spans="1:6" s="55" customFormat="1">
      <c r="A412" s="17"/>
      <c r="B412" s="24"/>
      <c r="C412" s="29"/>
      <c r="D412" s="40"/>
      <c r="E412" s="182"/>
      <c r="F412" s="183"/>
    </row>
    <row r="413" spans="1:6" s="55" customFormat="1">
      <c r="A413" s="17"/>
      <c r="B413" s="24"/>
      <c r="C413" s="29"/>
      <c r="D413" s="40"/>
      <c r="E413" s="182"/>
      <c r="F413" s="183"/>
    </row>
    <row r="414" spans="1:6" s="55" customFormat="1">
      <c r="A414" s="17"/>
      <c r="B414" s="24"/>
      <c r="C414" s="29"/>
      <c r="D414" s="40"/>
      <c r="E414" s="182"/>
      <c r="F414" s="183"/>
    </row>
    <row r="415" spans="1:6" s="55" customFormat="1">
      <c r="A415" s="17"/>
      <c r="B415" s="24"/>
      <c r="C415" s="29"/>
      <c r="D415" s="40"/>
      <c r="E415" s="182"/>
      <c r="F415" s="183"/>
    </row>
    <row r="416" spans="1:6" s="55" customFormat="1">
      <c r="A416" s="17"/>
      <c r="B416" s="24"/>
      <c r="C416" s="29"/>
      <c r="D416" s="40"/>
      <c r="E416" s="182"/>
      <c r="F416" s="183"/>
    </row>
    <row r="417" spans="1:6" s="55" customFormat="1">
      <c r="A417" s="17"/>
      <c r="B417" s="24"/>
      <c r="C417" s="29"/>
      <c r="D417" s="40"/>
      <c r="E417" s="182"/>
      <c r="F417" s="183"/>
    </row>
    <row r="418" spans="1:6" s="55" customFormat="1">
      <c r="A418" s="17"/>
      <c r="B418" s="24"/>
      <c r="C418" s="29"/>
      <c r="D418" s="40"/>
      <c r="E418" s="182"/>
      <c r="F418" s="183"/>
    </row>
    <row r="419" spans="1:6" s="55" customFormat="1">
      <c r="A419" s="17"/>
      <c r="B419" s="24"/>
      <c r="C419" s="29"/>
      <c r="D419" s="40"/>
      <c r="E419" s="182"/>
      <c r="F419" s="183"/>
    </row>
    <row r="420" spans="1:6" s="55" customFormat="1">
      <c r="A420" s="17"/>
      <c r="B420" s="24"/>
      <c r="C420" s="29"/>
      <c r="D420" s="40"/>
      <c r="E420" s="182"/>
      <c r="F420" s="183"/>
    </row>
    <row r="421" spans="1:6" s="55" customFormat="1">
      <c r="A421" s="17"/>
      <c r="B421" s="24"/>
      <c r="C421" s="29"/>
      <c r="D421" s="40"/>
      <c r="E421" s="182"/>
      <c r="F421" s="183"/>
    </row>
    <row r="422" spans="1:6" s="55" customFormat="1">
      <c r="A422" s="17"/>
      <c r="B422" s="24"/>
      <c r="C422" s="29"/>
      <c r="D422" s="40"/>
      <c r="E422" s="182"/>
      <c r="F422" s="183"/>
    </row>
    <row r="423" spans="1:6" s="55" customFormat="1">
      <c r="A423" s="17"/>
      <c r="B423" s="24"/>
      <c r="C423" s="29"/>
      <c r="D423" s="40"/>
      <c r="E423" s="182"/>
      <c r="F423" s="183"/>
    </row>
    <row r="424" spans="1:6" s="55" customFormat="1">
      <c r="A424" s="17"/>
      <c r="B424" s="24"/>
      <c r="C424" s="29"/>
      <c r="D424" s="40"/>
      <c r="E424" s="182"/>
      <c r="F424" s="183"/>
    </row>
    <row r="425" spans="1:6" s="55" customFormat="1">
      <c r="A425" s="17"/>
      <c r="B425" s="24"/>
      <c r="C425" s="29"/>
      <c r="D425" s="40"/>
      <c r="E425" s="182"/>
      <c r="F425" s="183"/>
    </row>
    <row r="426" spans="1:6" s="55" customFormat="1">
      <c r="A426" s="17"/>
      <c r="B426" s="24"/>
      <c r="C426" s="29"/>
      <c r="D426" s="40"/>
      <c r="E426" s="182"/>
      <c r="F426" s="183"/>
    </row>
    <row r="427" spans="1:6" s="55" customFormat="1">
      <c r="A427" s="17"/>
      <c r="B427" s="24"/>
      <c r="C427" s="29"/>
      <c r="D427" s="40"/>
      <c r="E427" s="182"/>
      <c r="F427" s="183"/>
    </row>
    <row r="428" spans="1:6" s="55" customFormat="1">
      <c r="A428" s="17"/>
      <c r="B428" s="24"/>
      <c r="C428" s="29"/>
      <c r="D428" s="40"/>
      <c r="E428" s="182"/>
      <c r="F428" s="183"/>
    </row>
    <row r="429" spans="1:6" s="55" customFormat="1">
      <c r="A429" s="17"/>
      <c r="B429" s="24"/>
      <c r="C429" s="29"/>
      <c r="D429" s="40"/>
      <c r="E429" s="182"/>
      <c r="F429" s="183"/>
    </row>
    <row r="430" spans="1:6" s="55" customFormat="1">
      <c r="A430" s="17"/>
      <c r="B430" s="24"/>
      <c r="C430" s="29"/>
      <c r="D430" s="40"/>
      <c r="E430" s="182"/>
      <c r="F430" s="183"/>
    </row>
    <row r="431" spans="1:6" s="55" customFormat="1">
      <c r="A431" s="17"/>
      <c r="B431" s="24"/>
      <c r="C431" s="29"/>
      <c r="D431" s="40"/>
      <c r="E431" s="182"/>
      <c r="F431" s="183"/>
    </row>
    <row r="432" spans="1:6" s="55" customFormat="1">
      <c r="A432" s="17"/>
      <c r="B432" s="24"/>
      <c r="C432" s="29"/>
      <c r="D432" s="40"/>
      <c r="E432" s="182"/>
      <c r="F432" s="183"/>
    </row>
    <row r="433" spans="1:6" s="55" customFormat="1">
      <c r="A433" s="17"/>
      <c r="B433" s="24"/>
      <c r="C433" s="29"/>
      <c r="D433" s="40"/>
      <c r="E433" s="182"/>
      <c r="F433" s="183"/>
    </row>
    <row r="434" spans="1:6" s="55" customFormat="1">
      <c r="A434" s="17"/>
      <c r="B434" s="24"/>
      <c r="C434" s="29"/>
      <c r="D434" s="40"/>
      <c r="E434" s="182"/>
      <c r="F434" s="183"/>
    </row>
    <row r="435" spans="1:6" s="55" customFormat="1">
      <c r="A435" s="17"/>
      <c r="B435" s="24"/>
      <c r="C435" s="29"/>
      <c r="D435" s="40"/>
      <c r="E435" s="182"/>
      <c r="F435" s="183"/>
    </row>
    <row r="436" spans="1:6" s="55" customFormat="1">
      <c r="A436" s="17"/>
      <c r="B436" s="24"/>
      <c r="C436" s="29"/>
      <c r="D436" s="40"/>
      <c r="E436" s="182"/>
      <c r="F436" s="183"/>
    </row>
    <row r="437" spans="1:6" s="55" customFormat="1">
      <c r="A437" s="17"/>
      <c r="B437" s="24"/>
      <c r="C437" s="29"/>
      <c r="D437" s="40"/>
      <c r="E437" s="182"/>
      <c r="F437" s="183"/>
    </row>
    <row r="438" spans="1:6" s="55" customFormat="1">
      <c r="A438" s="17"/>
      <c r="B438" s="24"/>
      <c r="C438" s="29"/>
      <c r="D438" s="40"/>
      <c r="E438" s="182"/>
      <c r="F438" s="183"/>
    </row>
    <row r="439" spans="1:6" s="55" customFormat="1">
      <c r="A439" s="17"/>
      <c r="B439" s="24"/>
      <c r="C439" s="29"/>
      <c r="D439" s="40"/>
      <c r="E439" s="182"/>
      <c r="F439" s="183"/>
    </row>
    <row r="440" spans="1:6" s="55" customFormat="1">
      <c r="A440" s="17"/>
      <c r="B440" s="24"/>
      <c r="C440" s="29"/>
      <c r="D440" s="40"/>
      <c r="E440" s="182"/>
      <c r="F440" s="183"/>
    </row>
    <row r="441" spans="1:6" s="55" customFormat="1">
      <c r="A441" s="17"/>
      <c r="B441" s="24"/>
      <c r="C441" s="29"/>
      <c r="D441" s="40"/>
      <c r="E441" s="182"/>
      <c r="F441" s="183"/>
    </row>
    <row r="442" spans="1:6" s="55" customFormat="1">
      <c r="A442" s="17"/>
      <c r="B442" s="24"/>
      <c r="C442" s="29"/>
      <c r="D442" s="40"/>
      <c r="E442" s="182"/>
      <c r="F442" s="183"/>
    </row>
    <row r="443" spans="1:6" s="55" customFormat="1">
      <c r="A443" s="17"/>
      <c r="B443" s="24"/>
      <c r="C443" s="29"/>
      <c r="D443" s="40"/>
      <c r="E443" s="182"/>
      <c r="F443" s="183"/>
    </row>
    <row r="444" spans="1:6" s="55" customFormat="1">
      <c r="A444" s="17"/>
      <c r="B444" s="24"/>
      <c r="C444" s="29"/>
      <c r="D444" s="40"/>
      <c r="E444" s="182"/>
      <c r="F444" s="183"/>
    </row>
    <row r="445" spans="1:6" s="55" customFormat="1">
      <c r="A445" s="17"/>
      <c r="B445" s="24"/>
      <c r="C445" s="29"/>
      <c r="D445" s="40"/>
      <c r="E445" s="182"/>
      <c r="F445" s="183"/>
    </row>
    <row r="446" spans="1:6" s="55" customFormat="1">
      <c r="A446" s="17"/>
      <c r="B446" s="24"/>
      <c r="C446" s="29"/>
      <c r="D446" s="40"/>
      <c r="E446" s="182"/>
      <c r="F446" s="183"/>
    </row>
    <row r="447" spans="1:6" s="55" customFormat="1">
      <c r="A447" s="17"/>
      <c r="B447" s="24"/>
      <c r="C447" s="29"/>
      <c r="D447" s="40"/>
      <c r="E447" s="182"/>
      <c r="F447" s="183"/>
    </row>
    <row r="448" spans="1:6" s="55" customFormat="1">
      <c r="A448" s="17"/>
      <c r="B448" s="24"/>
      <c r="C448" s="29"/>
      <c r="D448" s="40"/>
      <c r="E448" s="182"/>
      <c r="F448" s="183"/>
    </row>
    <row r="449" spans="1:6" s="55" customFormat="1">
      <c r="A449" s="17"/>
      <c r="B449" s="24"/>
      <c r="C449" s="29"/>
      <c r="D449" s="40"/>
      <c r="E449" s="182"/>
      <c r="F449" s="183"/>
    </row>
    <row r="450" spans="1:6" s="55" customFormat="1">
      <c r="A450" s="17"/>
      <c r="B450" s="24"/>
      <c r="C450" s="29"/>
      <c r="D450" s="40"/>
      <c r="E450" s="182"/>
      <c r="F450" s="183"/>
    </row>
    <row r="451" spans="1:6" s="55" customFormat="1">
      <c r="A451" s="17"/>
      <c r="B451" s="24"/>
      <c r="C451" s="29"/>
      <c r="D451" s="40"/>
      <c r="E451" s="182"/>
      <c r="F451" s="183"/>
    </row>
    <row r="452" spans="1:6" s="55" customFormat="1">
      <c r="A452" s="17"/>
      <c r="B452" s="24"/>
      <c r="C452" s="29"/>
      <c r="D452" s="40"/>
      <c r="E452" s="182"/>
      <c r="F452" s="183"/>
    </row>
    <row r="453" spans="1:6" s="55" customFormat="1">
      <c r="A453" s="17"/>
      <c r="B453" s="24"/>
      <c r="C453" s="29"/>
      <c r="D453" s="40"/>
      <c r="E453" s="182"/>
      <c r="F453" s="183"/>
    </row>
    <row r="454" spans="1:6" s="55" customFormat="1">
      <c r="A454" s="17"/>
      <c r="B454" s="24"/>
      <c r="C454" s="29"/>
      <c r="D454" s="40"/>
      <c r="E454" s="182"/>
      <c r="F454" s="183"/>
    </row>
    <row r="455" spans="1:6" s="55" customFormat="1">
      <c r="A455" s="17"/>
      <c r="B455" s="24"/>
      <c r="C455" s="29"/>
      <c r="D455" s="40"/>
      <c r="E455" s="182"/>
      <c r="F455" s="183"/>
    </row>
    <row r="456" spans="1:6" s="55" customFormat="1">
      <c r="A456" s="17"/>
      <c r="B456" s="24"/>
      <c r="C456" s="29"/>
      <c r="D456" s="40"/>
      <c r="E456" s="182"/>
      <c r="F456" s="183"/>
    </row>
    <row r="457" spans="1:6" s="55" customFormat="1">
      <c r="A457" s="17"/>
      <c r="B457" s="24"/>
      <c r="C457" s="29"/>
      <c r="D457" s="40"/>
      <c r="E457" s="182"/>
      <c r="F457" s="183"/>
    </row>
    <row r="458" spans="1:6" s="55" customFormat="1">
      <c r="A458" s="17"/>
      <c r="B458" s="24"/>
      <c r="C458" s="29"/>
      <c r="D458" s="40"/>
      <c r="E458" s="182"/>
      <c r="F458" s="183"/>
    </row>
    <row r="459" spans="1:6" s="55" customFormat="1">
      <c r="A459" s="17"/>
      <c r="B459" s="24"/>
      <c r="C459" s="29"/>
      <c r="D459" s="40"/>
      <c r="E459" s="182"/>
      <c r="F459" s="183"/>
    </row>
    <row r="460" spans="1:6" s="55" customFormat="1">
      <c r="A460" s="17"/>
      <c r="B460" s="24"/>
      <c r="C460" s="29"/>
      <c r="D460" s="40"/>
      <c r="E460" s="182"/>
      <c r="F460" s="183"/>
    </row>
    <row r="461" spans="1:6" s="55" customFormat="1">
      <c r="A461" s="17"/>
      <c r="B461" s="24"/>
      <c r="C461" s="29"/>
      <c r="D461" s="40"/>
      <c r="E461" s="182"/>
      <c r="F461" s="183"/>
    </row>
    <row r="462" spans="1:6" s="55" customFormat="1">
      <c r="A462" s="17"/>
      <c r="B462" s="24"/>
      <c r="C462" s="29"/>
      <c r="D462" s="40"/>
      <c r="E462" s="182"/>
      <c r="F462" s="183"/>
    </row>
    <row r="463" spans="1:6" s="55" customFormat="1">
      <c r="A463" s="17"/>
      <c r="B463" s="24"/>
      <c r="C463" s="29"/>
      <c r="D463" s="40"/>
      <c r="E463" s="182"/>
      <c r="F463" s="183"/>
    </row>
    <row r="464" spans="1:6" s="55" customFormat="1">
      <c r="A464" s="17"/>
      <c r="B464" s="24"/>
      <c r="C464" s="29"/>
      <c r="D464" s="40"/>
      <c r="E464" s="182"/>
      <c r="F464" s="183"/>
    </row>
    <row r="465" spans="1:6" s="55" customFormat="1">
      <c r="A465" s="17"/>
      <c r="B465" s="24"/>
      <c r="C465" s="29"/>
      <c r="D465" s="40"/>
      <c r="E465" s="182"/>
      <c r="F465" s="183"/>
    </row>
    <row r="466" spans="1:6" s="55" customFormat="1">
      <c r="A466" s="17"/>
      <c r="B466" s="24"/>
      <c r="C466" s="29"/>
      <c r="D466" s="40"/>
      <c r="E466" s="182"/>
      <c r="F466" s="183"/>
    </row>
    <row r="467" spans="1:6" s="55" customFormat="1">
      <c r="A467" s="17"/>
      <c r="B467" s="24"/>
      <c r="C467" s="29"/>
      <c r="D467" s="40"/>
      <c r="E467" s="182"/>
      <c r="F467" s="183"/>
    </row>
    <row r="468" spans="1:6" s="55" customFormat="1">
      <c r="A468" s="17"/>
      <c r="B468" s="24"/>
      <c r="C468" s="29"/>
      <c r="D468" s="40"/>
      <c r="E468" s="182"/>
      <c r="F468" s="183"/>
    </row>
    <row r="469" spans="1:6" s="55" customFormat="1">
      <c r="A469" s="17"/>
      <c r="B469" s="24"/>
      <c r="C469" s="29"/>
      <c r="D469" s="40"/>
      <c r="E469" s="182"/>
      <c r="F469" s="183"/>
    </row>
    <row r="470" spans="1:6" s="55" customFormat="1">
      <c r="A470" s="17"/>
      <c r="B470" s="24"/>
      <c r="C470" s="29"/>
      <c r="D470" s="40"/>
      <c r="E470" s="182"/>
      <c r="F470" s="183"/>
    </row>
    <row r="471" spans="1:6" s="55" customFormat="1">
      <c r="A471" s="17"/>
      <c r="B471" s="24"/>
      <c r="C471" s="29"/>
      <c r="D471" s="40"/>
      <c r="E471" s="182"/>
      <c r="F471" s="183"/>
    </row>
    <row r="472" spans="1:6" s="55" customFormat="1">
      <c r="A472" s="17"/>
      <c r="B472" s="24"/>
      <c r="C472" s="29"/>
      <c r="D472" s="40"/>
      <c r="E472" s="182"/>
      <c r="F472" s="183"/>
    </row>
    <row r="473" spans="1:6" s="55" customFormat="1">
      <c r="A473" s="17"/>
      <c r="B473" s="24"/>
      <c r="C473" s="29"/>
      <c r="D473" s="40"/>
      <c r="E473" s="182"/>
      <c r="F473" s="183"/>
    </row>
    <row r="474" spans="1:6" s="55" customFormat="1">
      <c r="A474" s="17"/>
      <c r="B474" s="24"/>
      <c r="C474" s="29"/>
      <c r="D474" s="40"/>
      <c r="E474" s="182"/>
      <c r="F474" s="183"/>
    </row>
    <row r="475" spans="1:6" s="55" customFormat="1">
      <c r="A475" s="17"/>
      <c r="B475" s="24"/>
      <c r="C475" s="29"/>
      <c r="D475" s="40"/>
      <c r="E475" s="182"/>
      <c r="F475" s="183"/>
    </row>
    <row r="476" spans="1:6" s="55" customFormat="1">
      <c r="A476" s="17"/>
      <c r="B476" s="24"/>
      <c r="C476" s="29"/>
      <c r="D476" s="40"/>
      <c r="E476" s="182"/>
      <c r="F476" s="183"/>
    </row>
    <row r="477" spans="1:6" s="55" customFormat="1">
      <c r="A477" s="17"/>
      <c r="B477" s="24"/>
      <c r="C477" s="29"/>
      <c r="D477" s="40"/>
      <c r="E477" s="182"/>
      <c r="F477" s="183"/>
    </row>
    <row r="478" spans="1:6" s="55" customFormat="1">
      <c r="A478" s="17"/>
      <c r="B478" s="24"/>
      <c r="C478" s="29"/>
      <c r="D478" s="40"/>
      <c r="E478" s="182"/>
      <c r="F478" s="183"/>
    </row>
    <row r="479" spans="1:6" s="55" customFormat="1">
      <c r="A479" s="17"/>
      <c r="B479" s="24"/>
      <c r="C479" s="29"/>
      <c r="D479" s="40"/>
      <c r="E479" s="182"/>
      <c r="F479" s="183"/>
    </row>
    <row r="480" spans="1:6" s="55" customFormat="1">
      <c r="A480" s="17"/>
      <c r="B480" s="24"/>
      <c r="C480" s="29"/>
      <c r="D480" s="40"/>
      <c r="E480" s="182"/>
      <c r="F480" s="183"/>
    </row>
    <row r="481" spans="1:6" s="55" customFormat="1">
      <c r="A481" s="17"/>
      <c r="B481" s="24"/>
      <c r="C481" s="29"/>
      <c r="D481" s="40"/>
      <c r="E481" s="182"/>
      <c r="F481" s="183"/>
    </row>
    <row r="482" spans="1:6" s="55" customFormat="1">
      <c r="A482" s="17"/>
      <c r="B482" s="24"/>
      <c r="C482" s="29"/>
      <c r="D482" s="40"/>
      <c r="E482" s="182"/>
      <c r="F482" s="183"/>
    </row>
    <row r="483" spans="1:6" s="55" customFormat="1">
      <c r="A483" s="17"/>
      <c r="B483" s="24"/>
      <c r="C483" s="29"/>
      <c r="D483" s="40"/>
      <c r="E483" s="182"/>
      <c r="F483" s="183"/>
    </row>
    <row r="484" spans="1:6" s="55" customFormat="1">
      <c r="A484" s="17"/>
      <c r="B484" s="24"/>
      <c r="C484" s="29"/>
      <c r="D484" s="40"/>
      <c r="E484" s="182"/>
      <c r="F484" s="183"/>
    </row>
    <row r="485" spans="1:6" s="55" customFormat="1">
      <c r="A485" s="17"/>
      <c r="B485" s="24"/>
      <c r="C485" s="29"/>
      <c r="D485" s="40"/>
      <c r="E485" s="182"/>
      <c r="F485" s="183"/>
    </row>
    <row r="486" spans="1:6" s="55" customFormat="1">
      <c r="A486" s="17"/>
      <c r="B486" s="24"/>
      <c r="C486" s="29"/>
      <c r="D486" s="40"/>
      <c r="E486" s="182"/>
      <c r="F486" s="183"/>
    </row>
    <row r="487" spans="1:6" s="55" customFormat="1">
      <c r="A487" s="17"/>
      <c r="B487" s="24"/>
      <c r="C487" s="29"/>
      <c r="D487" s="40"/>
      <c r="E487" s="182"/>
      <c r="F487" s="183"/>
    </row>
    <row r="488" spans="1:6" s="55" customFormat="1">
      <c r="A488" s="17"/>
      <c r="B488" s="24"/>
      <c r="C488" s="29"/>
      <c r="D488" s="40"/>
      <c r="E488" s="182"/>
      <c r="F488" s="183"/>
    </row>
    <row r="489" spans="1:6" s="55" customFormat="1">
      <c r="A489" s="17"/>
      <c r="B489" s="24"/>
      <c r="C489" s="29"/>
      <c r="D489" s="40"/>
      <c r="E489" s="182"/>
      <c r="F489" s="183"/>
    </row>
    <row r="490" spans="1:6" s="55" customFormat="1">
      <c r="A490" s="17"/>
      <c r="B490" s="24"/>
      <c r="C490" s="29"/>
      <c r="D490" s="40"/>
      <c r="E490" s="182"/>
      <c r="F490" s="183"/>
    </row>
    <row r="491" spans="1:6" s="55" customFormat="1">
      <c r="A491" s="17"/>
      <c r="B491" s="24"/>
      <c r="C491" s="29"/>
      <c r="D491" s="40"/>
      <c r="E491" s="182"/>
      <c r="F491" s="183"/>
    </row>
    <row r="492" spans="1:6" s="55" customFormat="1">
      <c r="A492" s="17"/>
      <c r="B492" s="24"/>
      <c r="C492" s="29"/>
      <c r="D492" s="40"/>
      <c r="E492" s="182"/>
      <c r="F492" s="183"/>
    </row>
    <row r="493" spans="1:6" s="55" customFormat="1">
      <c r="A493" s="17"/>
      <c r="B493" s="24"/>
      <c r="C493" s="29"/>
      <c r="D493" s="40"/>
      <c r="E493" s="182"/>
      <c r="F493" s="183"/>
    </row>
    <row r="494" spans="1:6" s="55" customFormat="1">
      <c r="A494" s="17"/>
      <c r="B494" s="24"/>
      <c r="C494" s="29"/>
      <c r="D494" s="40"/>
      <c r="E494" s="182"/>
      <c r="F494" s="183"/>
    </row>
    <row r="495" spans="1:6" s="55" customFormat="1">
      <c r="A495" s="17"/>
      <c r="B495" s="24"/>
      <c r="C495" s="29"/>
      <c r="D495" s="40"/>
      <c r="E495" s="182"/>
      <c r="F495" s="183"/>
    </row>
    <row r="496" spans="1:6" s="55" customFormat="1">
      <c r="A496" s="17"/>
      <c r="B496" s="24"/>
      <c r="C496" s="29"/>
      <c r="D496" s="40"/>
      <c r="E496" s="182"/>
      <c r="F496" s="183"/>
    </row>
    <row r="497" spans="1:6" s="55" customFormat="1">
      <c r="A497" s="17"/>
      <c r="B497" s="24"/>
      <c r="C497" s="29"/>
      <c r="D497" s="40"/>
      <c r="E497" s="182"/>
      <c r="F497" s="183"/>
    </row>
    <row r="498" spans="1:6" s="55" customFormat="1">
      <c r="A498" s="17"/>
      <c r="B498" s="24"/>
      <c r="C498" s="29"/>
      <c r="D498" s="40"/>
      <c r="E498" s="182"/>
      <c r="F498" s="183"/>
    </row>
    <row r="499" spans="1:6" s="55" customFormat="1">
      <c r="A499" s="17"/>
      <c r="B499" s="24"/>
      <c r="C499" s="29"/>
      <c r="D499" s="40"/>
      <c r="E499" s="182"/>
      <c r="F499" s="183"/>
    </row>
    <row r="500" spans="1:6" s="55" customFormat="1">
      <c r="A500" s="17"/>
      <c r="B500" s="24"/>
      <c r="C500" s="29"/>
      <c r="D500" s="40"/>
      <c r="E500" s="182"/>
      <c r="F500" s="183"/>
    </row>
    <row r="501" spans="1:6" s="55" customFormat="1">
      <c r="A501" s="17"/>
      <c r="B501" s="24"/>
      <c r="C501" s="29"/>
      <c r="D501" s="40"/>
      <c r="E501" s="182"/>
      <c r="F501" s="183"/>
    </row>
    <row r="502" spans="1:6" s="55" customFormat="1">
      <c r="A502" s="17"/>
      <c r="B502" s="24"/>
      <c r="C502" s="29"/>
      <c r="D502" s="40"/>
      <c r="E502" s="182"/>
      <c r="F502" s="183"/>
    </row>
    <row r="503" spans="1:6" s="55" customFormat="1">
      <c r="A503" s="17"/>
      <c r="B503" s="24"/>
      <c r="C503" s="29"/>
      <c r="D503" s="40"/>
      <c r="E503" s="182"/>
      <c r="F503" s="183"/>
    </row>
    <row r="504" spans="1:6" s="55" customFormat="1">
      <c r="A504" s="17"/>
      <c r="B504" s="24"/>
      <c r="C504" s="29"/>
      <c r="D504" s="40"/>
      <c r="E504" s="182"/>
      <c r="F504" s="183"/>
    </row>
    <row r="505" spans="1:6" s="55" customFormat="1">
      <c r="A505" s="17"/>
      <c r="B505" s="24"/>
      <c r="C505" s="29"/>
      <c r="D505" s="40"/>
      <c r="E505" s="182"/>
      <c r="F505" s="183"/>
    </row>
    <row r="506" spans="1:6" s="55" customFormat="1">
      <c r="A506" s="17"/>
      <c r="B506" s="24"/>
      <c r="C506" s="29"/>
      <c r="D506" s="40"/>
      <c r="E506" s="182"/>
      <c r="F506" s="183"/>
    </row>
    <row r="507" spans="1:6" s="55" customFormat="1">
      <c r="A507" s="17"/>
      <c r="B507" s="24"/>
      <c r="C507" s="29"/>
      <c r="D507" s="40"/>
      <c r="E507" s="182"/>
      <c r="F507" s="183"/>
    </row>
    <row r="508" spans="1:6" s="55" customFormat="1">
      <c r="A508" s="17"/>
      <c r="B508" s="24"/>
      <c r="C508" s="29"/>
      <c r="D508" s="40"/>
      <c r="E508" s="182"/>
      <c r="F508" s="183"/>
    </row>
    <row r="509" spans="1:6" s="55" customFormat="1">
      <c r="A509" s="17"/>
      <c r="B509" s="24"/>
      <c r="C509" s="29"/>
      <c r="D509" s="40"/>
      <c r="E509" s="182"/>
      <c r="F509" s="183"/>
    </row>
    <row r="510" spans="1:6" s="55" customFormat="1">
      <c r="A510" s="17"/>
      <c r="B510" s="24"/>
      <c r="C510" s="29"/>
      <c r="D510" s="40"/>
      <c r="E510" s="182"/>
      <c r="F510" s="183"/>
    </row>
    <row r="511" spans="1:6" s="55" customFormat="1">
      <c r="A511" s="17"/>
      <c r="B511" s="24"/>
      <c r="C511" s="29"/>
      <c r="D511" s="40"/>
      <c r="E511" s="182"/>
      <c r="F511" s="183"/>
    </row>
    <row r="512" spans="1:6" s="55" customFormat="1">
      <c r="A512" s="17"/>
      <c r="B512" s="1"/>
      <c r="C512" s="29"/>
      <c r="D512" s="40"/>
      <c r="E512" s="182"/>
      <c r="F512" s="183"/>
    </row>
    <row r="513" spans="1:6" s="55" customFormat="1">
      <c r="A513" s="17"/>
      <c r="B513" s="1"/>
      <c r="C513" s="29"/>
      <c r="D513" s="40"/>
      <c r="E513" s="182"/>
      <c r="F513" s="183"/>
    </row>
    <row r="514" spans="1:6" s="55" customFormat="1">
      <c r="A514" s="17"/>
      <c r="B514" s="1"/>
      <c r="C514" s="29"/>
      <c r="D514" s="40"/>
      <c r="E514" s="182"/>
      <c r="F514" s="183"/>
    </row>
    <row r="515" spans="1:6" s="55" customFormat="1">
      <c r="A515" s="17"/>
      <c r="B515" s="1"/>
      <c r="C515" s="29"/>
      <c r="D515" s="40"/>
      <c r="E515" s="182"/>
      <c r="F515" s="183"/>
    </row>
    <row r="516" spans="1:6" s="55" customFormat="1">
      <c r="A516" s="17"/>
      <c r="B516" s="1"/>
      <c r="C516" s="29"/>
      <c r="D516" s="40"/>
      <c r="E516" s="182"/>
      <c r="F516" s="183"/>
    </row>
    <row r="517" spans="1:6" s="55" customFormat="1">
      <c r="A517" s="17"/>
      <c r="B517" s="1"/>
      <c r="C517" s="29"/>
      <c r="D517" s="40"/>
      <c r="E517" s="182"/>
      <c r="F517" s="183"/>
    </row>
    <row r="518" spans="1:6" s="55" customFormat="1">
      <c r="A518" s="17"/>
      <c r="B518" s="1"/>
      <c r="C518" s="29"/>
      <c r="D518" s="40"/>
      <c r="E518" s="182"/>
      <c r="F518" s="183"/>
    </row>
    <row r="519" spans="1:6" s="55" customFormat="1">
      <c r="A519" s="17"/>
      <c r="B519" s="1"/>
      <c r="C519" s="29"/>
      <c r="D519" s="40"/>
      <c r="E519" s="182"/>
      <c r="F519" s="183"/>
    </row>
    <row r="520" spans="1:6" s="55" customFormat="1">
      <c r="A520" s="17"/>
      <c r="B520" s="1"/>
      <c r="C520" s="29"/>
      <c r="D520" s="40"/>
      <c r="E520" s="182"/>
      <c r="F520" s="183"/>
    </row>
    <row r="521" spans="1:6" s="55" customFormat="1">
      <c r="A521" s="17"/>
      <c r="B521" s="1"/>
      <c r="C521" s="29"/>
      <c r="D521" s="40"/>
      <c r="E521" s="182"/>
      <c r="F521" s="183"/>
    </row>
    <row r="522" spans="1:6" s="55" customFormat="1">
      <c r="A522" s="17"/>
      <c r="B522" s="1"/>
      <c r="C522" s="29"/>
      <c r="D522" s="40"/>
      <c r="E522" s="182"/>
      <c r="F522" s="183"/>
    </row>
    <row r="523" spans="1:6" s="55" customFormat="1">
      <c r="A523" s="17"/>
      <c r="B523" s="1"/>
      <c r="C523" s="29"/>
      <c r="D523" s="40"/>
      <c r="E523" s="182"/>
      <c r="F523" s="183"/>
    </row>
    <row r="524" spans="1:6" s="55" customFormat="1">
      <c r="A524" s="17"/>
      <c r="B524" s="1"/>
      <c r="C524" s="29"/>
      <c r="D524" s="40"/>
      <c r="E524" s="182"/>
      <c r="F524" s="183"/>
    </row>
    <row r="525" spans="1:6" s="55" customFormat="1">
      <c r="A525" s="17"/>
      <c r="B525" s="1"/>
      <c r="C525" s="29"/>
      <c r="D525" s="40"/>
      <c r="E525" s="182"/>
      <c r="F525" s="183"/>
    </row>
    <row r="526" spans="1:6" s="55" customFormat="1">
      <c r="A526" s="17"/>
      <c r="B526" s="1"/>
      <c r="C526" s="29"/>
      <c r="D526" s="40"/>
      <c r="E526" s="182"/>
      <c r="F526" s="183"/>
    </row>
    <row r="527" spans="1:6" s="55" customFormat="1">
      <c r="A527" s="17"/>
      <c r="B527" s="1"/>
      <c r="C527" s="29"/>
      <c r="D527" s="40"/>
      <c r="E527" s="182"/>
      <c r="F527" s="183"/>
    </row>
    <row r="528" spans="1:6" s="55" customFormat="1">
      <c r="A528" s="17"/>
      <c r="B528" s="24"/>
      <c r="C528" s="29"/>
      <c r="D528" s="40"/>
      <c r="E528" s="182"/>
      <c r="F528" s="183"/>
    </row>
    <row r="529" spans="1:6" s="55" customFormat="1">
      <c r="A529" s="17"/>
      <c r="B529" s="24"/>
      <c r="C529" s="29"/>
      <c r="D529" s="40"/>
      <c r="E529" s="182"/>
      <c r="F529" s="183"/>
    </row>
    <row r="530" spans="1:6" s="55" customFormat="1">
      <c r="A530" s="17"/>
      <c r="B530" s="24"/>
      <c r="C530" s="29"/>
      <c r="D530" s="40"/>
      <c r="E530" s="182"/>
      <c r="F530" s="183"/>
    </row>
    <row r="531" spans="1:6" s="55" customFormat="1">
      <c r="A531" s="17"/>
      <c r="B531" s="24"/>
      <c r="C531" s="29"/>
      <c r="D531" s="40"/>
      <c r="E531" s="182"/>
      <c r="F531" s="183"/>
    </row>
    <row r="532" spans="1:6" s="55" customFormat="1">
      <c r="A532" s="17"/>
      <c r="B532" s="24"/>
      <c r="C532" s="29"/>
      <c r="D532" s="40"/>
      <c r="E532" s="182"/>
      <c r="F532" s="183"/>
    </row>
    <row r="533" spans="1:6" s="55" customFormat="1">
      <c r="A533" s="17"/>
      <c r="B533" s="24"/>
      <c r="C533" s="29"/>
      <c r="D533" s="40"/>
      <c r="E533" s="182"/>
      <c r="F533" s="183"/>
    </row>
    <row r="534" spans="1:6" s="55" customFormat="1">
      <c r="A534" s="17"/>
      <c r="B534" s="24"/>
      <c r="C534" s="29"/>
      <c r="D534" s="40"/>
      <c r="E534" s="182"/>
      <c r="F534" s="183"/>
    </row>
    <row r="535" spans="1:6" s="55" customFormat="1">
      <c r="A535" s="17"/>
      <c r="B535" s="24"/>
      <c r="C535" s="29"/>
      <c r="D535" s="40"/>
      <c r="E535" s="182"/>
      <c r="F535" s="183"/>
    </row>
    <row r="536" spans="1:6" s="55" customFormat="1">
      <c r="A536" s="17"/>
      <c r="B536" s="24"/>
      <c r="C536" s="29"/>
      <c r="D536" s="40"/>
      <c r="E536" s="182"/>
      <c r="F536" s="183"/>
    </row>
    <row r="537" spans="1:6" s="55" customFormat="1">
      <c r="A537" s="17"/>
      <c r="B537" s="24"/>
      <c r="C537" s="29"/>
      <c r="D537" s="40"/>
      <c r="E537" s="182"/>
      <c r="F537" s="183"/>
    </row>
    <row r="538" spans="1:6" s="55" customFormat="1">
      <c r="A538" s="17"/>
      <c r="B538" s="24"/>
      <c r="C538" s="29"/>
      <c r="D538" s="40"/>
      <c r="E538" s="182"/>
      <c r="F538" s="183"/>
    </row>
    <row r="539" spans="1:6" s="55" customFormat="1">
      <c r="A539" s="17"/>
      <c r="B539" s="24"/>
      <c r="C539" s="29"/>
      <c r="D539" s="40"/>
      <c r="E539" s="182"/>
      <c r="F539" s="183"/>
    </row>
    <row r="540" spans="1:6" s="55" customFormat="1">
      <c r="A540" s="17"/>
      <c r="B540" s="24"/>
      <c r="C540" s="29"/>
      <c r="D540" s="40"/>
      <c r="E540" s="182"/>
      <c r="F540" s="183"/>
    </row>
    <row r="541" spans="1:6" s="55" customFormat="1">
      <c r="A541" s="17"/>
      <c r="B541" s="24"/>
      <c r="C541" s="29"/>
      <c r="D541" s="40"/>
      <c r="E541" s="182"/>
      <c r="F541" s="183"/>
    </row>
    <row r="542" spans="1:6" s="55" customFormat="1">
      <c r="A542" s="17"/>
      <c r="B542" s="24"/>
      <c r="C542" s="29"/>
      <c r="D542" s="40"/>
      <c r="E542" s="182"/>
      <c r="F542" s="183"/>
    </row>
    <row r="543" spans="1:6" s="55" customFormat="1">
      <c r="A543" s="17"/>
      <c r="B543" s="24"/>
      <c r="C543" s="29"/>
      <c r="D543" s="40"/>
      <c r="E543" s="182"/>
      <c r="F543" s="183"/>
    </row>
    <row r="544" spans="1:6" s="55" customFormat="1">
      <c r="A544" s="17"/>
      <c r="B544" s="24"/>
      <c r="C544" s="29"/>
      <c r="D544" s="40"/>
      <c r="E544" s="182"/>
      <c r="F544" s="183"/>
    </row>
    <row r="545" spans="1:6" s="55" customFormat="1">
      <c r="A545" s="17"/>
      <c r="B545" s="24"/>
      <c r="C545" s="29"/>
      <c r="D545" s="40"/>
      <c r="E545" s="182"/>
      <c r="F545" s="183"/>
    </row>
    <row r="546" spans="1:6" s="55" customFormat="1">
      <c r="A546" s="17"/>
      <c r="B546" s="24"/>
      <c r="C546" s="29"/>
      <c r="D546" s="40"/>
      <c r="E546" s="182"/>
      <c r="F546" s="183"/>
    </row>
    <row r="547" spans="1:6" s="55" customFormat="1">
      <c r="A547" s="17"/>
      <c r="B547" s="24"/>
      <c r="C547" s="29"/>
      <c r="D547" s="40"/>
      <c r="E547" s="183"/>
      <c r="F547" s="183"/>
    </row>
    <row r="548" spans="1:6" s="55" customFormat="1">
      <c r="A548" s="17"/>
      <c r="B548" s="24"/>
      <c r="C548" s="29"/>
      <c r="D548" s="40"/>
      <c r="E548" s="183"/>
      <c r="F548" s="183"/>
    </row>
    <row r="549" spans="1:6" s="55" customFormat="1">
      <c r="A549" s="17"/>
      <c r="B549" s="24"/>
      <c r="C549" s="29"/>
      <c r="D549" s="40"/>
      <c r="E549" s="183"/>
      <c r="F549" s="183"/>
    </row>
    <row r="550" spans="1:6" s="55" customFormat="1">
      <c r="A550" s="17"/>
      <c r="B550" s="24"/>
      <c r="C550" s="29"/>
      <c r="D550" s="40"/>
      <c r="E550" s="183"/>
      <c r="F550" s="183"/>
    </row>
    <row r="551" spans="1:6" s="55" customFormat="1">
      <c r="A551" s="17"/>
      <c r="B551" s="24"/>
      <c r="C551" s="29"/>
      <c r="D551" s="40"/>
      <c r="E551" s="183"/>
      <c r="F551" s="183"/>
    </row>
    <row r="552" spans="1:6" s="55" customFormat="1">
      <c r="A552" s="17"/>
      <c r="B552" s="24"/>
      <c r="C552" s="29"/>
      <c r="D552" s="40"/>
      <c r="E552" s="183"/>
      <c r="F552" s="183"/>
    </row>
    <row r="553" spans="1:6" s="55" customFormat="1">
      <c r="A553" s="17"/>
      <c r="B553" s="24"/>
      <c r="C553" s="29"/>
      <c r="D553" s="40"/>
      <c r="E553" s="183"/>
      <c r="F553" s="183"/>
    </row>
    <row r="554" spans="1:6">
      <c r="B554" s="24"/>
    </row>
    <row r="555" spans="1:6">
      <c r="B555" s="24"/>
    </row>
    <row r="556" spans="1:6">
      <c r="B556" s="24"/>
    </row>
    <row r="557" spans="1:6">
      <c r="B557" s="24"/>
    </row>
    <row r="558" spans="1:6">
      <c r="B558" s="24"/>
    </row>
    <row r="559" spans="1:6">
      <c r="B559" s="24"/>
    </row>
    <row r="560" spans="1:6">
      <c r="B560" s="24"/>
    </row>
    <row r="564" spans="2:2">
      <c r="B564" s="24"/>
    </row>
    <row r="565" spans="2:2">
      <c r="B565" s="24"/>
    </row>
    <row r="566" spans="2:2">
      <c r="B566" s="24"/>
    </row>
    <row r="567" spans="2:2">
      <c r="B567" s="24"/>
    </row>
    <row r="568" spans="2:2">
      <c r="B568" s="24"/>
    </row>
    <row r="569" spans="2:2">
      <c r="B569" s="24"/>
    </row>
    <row r="570" spans="2:2">
      <c r="B570" s="24"/>
    </row>
    <row r="571" spans="2:2">
      <c r="B571" s="24"/>
    </row>
    <row r="572" spans="2:2">
      <c r="B572" s="24"/>
    </row>
    <row r="573" spans="2:2">
      <c r="B573" s="24"/>
    </row>
    <row r="574" spans="2:2">
      <c r="B574" s="24"/>
    </row>
    <row r="575" spans="2:2">
      <c r="B575" s="24"/>
    </row>
    <row r="576" spans="2:2">
      <c r="B576" s="24"/>
    </row>
    <row r="577" spans="2:2">
      <c r="B577" s="24"/>
    </row>
    <row r="578" spans="2:2">
      <c r="B578" s="24"/>
    </row>
    <row r="579" spans="2:2">
      <c r="B579" s="24"/>
    </row>
    <row r="580" spans="2:2">
      <c r="B580" s="24"/>
    </row>
    <row r="581" spans="2:2">
      <c r="B581" s="24"/>
    </row>
    <row r="582" spans="2:2">
      <c r="B582" s="24"/>
    </row>
    <row r="583" spans="2:2">
      <c r="B583" s="24"/>
    </row>
    <row r="584" spans="2:2">
      <c r="B584" s="24"/>
    </row>
  </sheetData>
  <pageMargins left="0.7" right="0.7" top="0.79625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rowBreaks count="1" manualBreakCount="1">
    <brk id="60" max="5" man="1"/>
  </rowBreaks>
</worksheet>
</file>

<file path=xl/worksheets/sheet25.xml><?xml version="1.0" encoding="utf-8"?>
<worksheet xmlns="http://schemas.openxmlformats.org/spreadsheetml/2006/main" xmlns:r="http://schemas.openxmlformats.org/officeDocument/2006/relationships">
  <sheetPr>
    <tabColor rgb="FF0070C0"/>
  </sheetPr>
  <dimension ref="A1:R60"/>
  <sheetViews>
    <sheetView showZeros="0" view="pageBreakPreview" zoomScaleNormal="100" zoomScaleSheetLayoutView="100" workbookViewId="0">
      <selection activeCell="E2" sqref="E2:G60"/>
    </sheetView>
  </sheetViews>
  <sheetFormatPr defaultColWidth="9.140625" defaultRowHeight="15"/>
  <cols>
    <col min="1" max="1" width="8.7109375" style="23" customWidth="1"/>
    <col min="2" max="2" width="44.85546875" style="24" customWidth="1"/>
    <col min="3" max="3" width="8.5703125" style="29" customWidth="1"/>
    <col min="4" max="4" width="10.5703125" style="40" customWidth="1"/>
    <col min="5" max="5" width="13.7109375" style="183" customWidth="1"/>
    <col min="6" max="6" width="16.7109375" style="183" customWidth="1"/>
    <col min="7" max="16384" width="9.140625" style="2"/>
  </cols>
  <sheetData>
    <row r="1" spans="1:6">
      <c r="A1" s="107" t="s">
        <v>260</v>
      </c>
      <c r="B1" s="107" t="s">
        <v>261</v>
      </c>
      <c r="C1" s="64" t="s">
        <v>262</v>
      </c>
      <c r="D1" s="109" t="s">
        <v>263</v>
      </c>
      <c r="E1" s="186" t="s">
        <v>264</v>
      </c>
      <c r="F1" s="187" t="s">
        <v>265</v>
      </c>
    </row>
    <row r="2" spans="1:6">
      <c r="B2" s="1"/>
      <c r="E2" s="182"/>
    </row>
    <row r="3" spans="1:6">
      <c r="A3" s="17" t="s">
        <v>688</v>
      </c>
      <c r="B3" s="25" t="s">
        <v>649</v>
      </c>
      <c r="E3" s="182"/>
    </row>
    <row r="4" spans="1:6">
      <c r="B4" s="1"/>
      <c r="E4" s="182"/>
    </row>
    <row r="5" spans="1:6">
      <c r="B5" s="1"/>
      <c r="E5" s="182"/>
    </row>
    <row r="6" spans="1:6">
      <c r="A6" s="23">
        <f>COUNT($A4:A$5)+1</f>
        <v>1</v>
      </c>
      <c r="B6" s="25" t="s">
        <v>634</v>
      </c>
      <c r="E6" s="182"/>
    </row>
    <row r="7" spans="1:6" ht="45">
      <c r="B7" s="1" t="s">
        <v>1118</v>
      </c>
      <c r="E7" s="182"/>
    </row>
    <row r="8" spans="1:6" ht="165">
      <c r="B8" s="1" t="s">
        <v>1117</v>
      </c>
      <c r="E8" s="182"/>
    </row>
    <row r="9" spans="1:6">
      <c r="B9" s="1" t="s">
        <v>227</v>
      </c>
      <c r="C9" s="29" t="s">
        <v>18</v>
      </c>
      <c r="D9" s="40">
        <v>2</v>
      </c>
      <c r="E9" s="182"/>
    </row>
    <row r="10" spans="1:6">
      <c r="B10" s="1"/>
      <c r="E10" s="182"/>
    </row>
    <row r="11" spans="1:6" ht="45">
      <c r="A11" s="23">
        <f>COUNT($A$5:A9)+1</f>
        <v>2</v>
      </c>
      <c r="B11" s="1" t="s">
        <v>240</v>
      </c>
      <c r="E11" s="182"/>
    </row>
    <row r="12" spans="1:6" ht="135">
      <c r="B12" s="1" t="s">
        <v>228</v>
      </c>
      <c r="E12" s="182"/>
    </row>
    <row r="13" spans="1:6" ht="135">
      <c r="B13" s="1" t="s">
        <v>229</v>
      </c>
      <c r="E13" s="182"/>
    </row>
    <row r="14" spans="1:6">
      <c r="B14" s="1" t="s">
        <v>140</v>
      </c>
      <c r="C14" s="29" t="s">
        <v>11</v>
      </c>
      <c r="D14" s="40">
        <v>12</v>
      </c>
      <c r="E14" s="182"/>
    </row>
    <row r="15" spans="1:6">
      <c r="B15" s="1"/>
      <c r="E15" s="182"/>
    </row>
    <row r="16" spans="1:6" ht="30">
      <c r="A16" s="23">
        <f>COUNT($A$5:A14)+1</f>
        <v>3</v>
      </c>
      <c r="B16" s="1" t="s">
        <v>1652</v>
      </c>
      <c r="E16" s="182"/>
    </row>
    <row r="17" spans="1:5" ht="45">
      <c r="B17" s="1" t="s">
        <v>230</v>
      </c>
      <c r="E17" s="182"/>
    </row>
    <row r="18" spans="1:5" ht="60">
      <c r="B18" s="1" t="s">
        <v>231</v>
      </c>
      <c r="C18" s="29" t="s">
        <v>18</v>
      </c>
      <c r="D18" s="40">
        <v>14</v>
      </c>
      <c r="E18" s="182"/>
    </row>
    <row r="19" spans="1:5">
      <c r="B19" s="1"/>
    </row>
    <row r="20" spans="1:5">
      <c r="B20" s="1"/>
      <c r="E20" s="182"/>
    </row>
    <row r="21" spans="1:5" ht="60">
      <c r="A21" s="23">
        <f>COUNT($A$5:A19)+1</f>
        <v>4</v>
      </c>
      <c r="B21" s="1" t="s">
        <v>270</v>
      </c>
      <c r="E21" s="182"/>
    </row>
    <row r="22" spans="1:5" ht="60">
      <c r="B22" s="1" t="s">
        <v>232</v>
      </c>
      <c r="E22" s="182"/>
    </row>
    <row r="23" spans="1:5">
      <c r="B23" s="1" t="s">
        <v>233</v>
      </c>
      <c r="C23" s="29" t="s">
        <v>18</v>
      </c>
      <c r="D23" s="40">
        <v>6</v>
      </c>
      <c r="E23" s="182"/>
    </row>
    <row r="24" spans="1:5">
      <c r="B24" s="1"/>
      <c r="E24" s="182"/>
    </row>
    <row r="25" spans="1:5" ht="90">
      <c r="A25" s="23">
        <f>COUNT($A$5:A24)+1</f>
        <v>5</v>
      </c>
      <c r="B25" s="1" t="s">
        <v>256</v>
      </c>
    </row>
    <row r="26" spans="1:5">
      <c r="B26" s="1" t="s">
        <v>227</v>
      </c>
    </row>
    <row r="27" spans="1:5">
      <c r="B27" s="1" t="s">
        <v>253</v>
      </c>
      <c r="C27" s="29" t="s">
        <v>18</v>
      </c>
      <c r="D27" s="40">
        <v>1</v>
      </c>
      <c r="E27" s="182"/>
    </row>
    <row r="28" spans="1:5">
      <c r="B28" s="1" t="s">
        <v>254</v>
      </c>
      <c r="C28" s="29" t="s">
        <v>18</v>
      </c>
      <c r="D28" s="40">
        <v>1</v>
      </c>
      <c r="E28" s="182"/>
    </row>
    <row r="29" spans="1:5">
      <c r="B29" s="1" t="s">
        <v>255</v>
      </c>
      <c r="C29" s="29" t="s">
        <v>18</v>
      </c>
      <c r="D29" s="40">
        <v>1</v>
      </c>
      <c r="E29" s="182"/>
    </row>
    <row r="30" spans="1:5">
      <c r="B30" s="1" t="s">
        <v>1653</v>
      </c>
      <c r="C30" s="29" t="s">
        <v>18</v>
      </c>
      <c r="D30" s="40">
        <v>1</v>
      </c>
      <c r="E30" s="182"/>
    </row>
    <row r="31" spans="1:5">
      <c r="B31" s="1" t="s">
        <v>1654</v>
      </c>
      <c r="C31" s="29" t="s">
        <v>18</v>
      </c>
      <c r="D31" s="40">
        <v>1</v>
      </c>
      <c r="E31" s="182"/>
    </row>
    <row r="32" spans="1:5">
      <c r="B32" s="1" t="s">
        <v>1655</v>
      </c>
      <c r="C32" s="29" t="s">
        <v>18</v>
      </c>
      <c r="D32" s="40">
        <v>1</v>
      </c>
      <c r="E32" s="182"/>
    </row>
    <row r="33" spans="1:8">
      <c r="B33" s="1" t="s">
        <v>1656</v>
      </c>
      <c r="C33" s="29" t="s">
        <v>18</v>
      </c>
      <c r="D33" s="40">
        <v>1</v>
      </c>
      <c r="E33" s="182"/>
    </row>
    <row r="34" spans="1:8">
      <c r="B34" s="1" t="s">
        <v>1657</v>
      </c>
      <c r="C34" s="29" t="s">
        <v>18</v>
      </c>
      <c r="D34" s="40">
        <v>1</v>
      </c>
      <c r="E34" s="182"/>
    </row>
    <row r="35" spans="1:8">
      <c r="B35" s="1" t="s">
        <v>1658</v>
      </c>
      <c r="C35" s="29" t="s">
        <v>18</v>
      </c>
      <c r="D35" s="40">
        <v>1</v>
      </c>
      <c r="E35" s="182"/>
    </row>
    <row r="36" spans="1:8">
      <c r="B36" s="295"/>
      <c r="E36" s="182"/>
    </row>
    <row r="38" spans="1:8" ht="45">
      <c r="A38" s="23">
        <f>COUNT($A$5:A37)+1</f>
        <v>6</v>
      </c>
      <c r="B38" s="1" t="s">
        <v>1116</v>
      </c>
    </row>
    <row r="39" spans="1:8">
      <c r="B39" s="1" t="s">
        <v>227</v>
      </c>
      <c r="C39" s="29" t="s">
        <v>18</v>
      </c>
      <c r="D39" s="40">
        <v>5</v>
      </c>
      <c r="E39" s="182"/>
    </row>
    <row r="40" spans="1:8">
      <c r="B40" s="1"/>
    </row>
    <row r="41" spans="1:8" s="32" customFormat="1">
      <c r="A41" s="23">
        <f>COUNT($A$5:A40)+1</f>
        <v>7</v>
      </c>
      <c r="B41" s="1" t="s">
        <v>637</v>
      </c>
      <c r="C41" s="31"/>
      <c r="D41" s="105"/>
      <c r="E41" s="184"/>
      <c r="F41" s="183"/>
      <c r="G41" s="81"/>
      <c r="H41" s="82"/>
    </row>
    <row r="42" spans="1:8" s="1" customFormat="1" ht="75">
      <c r="A42" s="23"/>
      <c r="B42" s="1" t="s">
        <v>638</v>
      </c>
      <c r="C42" s="29"/>
      <c r="D42" s="40"/>
      <c r="E42" s="183"/>
      <c r="F42" s="183"/>
      <c r="G42" s="81"/>
      <c r="H42" s="82"/>
    </row>
    <row r="43" spans="1:8" s="1" customFormat="1">
      <c r="A43" s="23"/>
      <c r="B43" s="1" t="s">
        <v>227</v>
      </c>
      <c r="C43" s="31" t="s">
        <v>18</v>
      </c>
      <c r="D43" s="105">
        <v>1</v>
      </c>
      <c r="E43" s="182"/>
      <c r="F43" s="183"/>
      <c r="G43" s="81"/>
      <c r="H43" s="82"/>
    </row>
    <row r="44" spans="1:8" s="32" customFormat="1">
      <c r="A44" s="23"/>
      <c r="B44" s="1"/>
      <c r="C44" s="31"/>
      <c r="D44" s="105"/>
      <c r="E44" s="182"/>
      <c r="F44" s="183"/>
      <c r="G44" s="81"/>
      <c r="H44" s="82"/>
    </row>
    <row r="45" spans="1:8" s="1" customFormat="1">
      <c r="A45" s="23">
        <f>COUNT($A$5:A44)+1</f>
        <v>8</v>
      </c>
      <c r="B45" s="1" t="s">
        <v>639</v>
      </c>
      <c r="C45" s="31"/>
      <c r="D45" s="105"/>
      <c r="E45" s="184"/>
      <c r="F45" s="183"/>
      <c r="G45" s="81"/>
      <c r="H45" s="82"/>
    </row>
    <row r="46" spans="1:8" s="1" customFormat="1" ht="180">
      <c r="A46" s="23"/>
      <c r="B46" s="1" t="s">
        <v>815</v>
      </c>
      <c r="C46" s="29"/>
      <c r="D46" s="40"/>
      <c r="E46" s="183"/>
      <c r="F46" s="183"/>
      <c r="G46" s="81"/>
      <c r="H46" s="82"/>
    </row>
    <row r="47" spans="1:8" s="1" customFormat="1">
      <c r="A47" s="23"/>
      <c r="B47" s="1" t="s">
        <v>484</v>
      </c>
      <c r="C47" s="31" t="s">
        <v>43</v>
      </c>
      <c r="D47" s="105">
        <v>100</v>
      </c>
      <c r="E47" s="182"/>
      <c r="F47" s="183"/>
      <c r="G47" s="81"/>
      <c r="H47" s="82"/>
    </row>
    <row r="49" spans="1:18">
      <c r="B49" s="1"/>
      <c r="C49" s="56"/>
      <c r="E49" s="182"/>
      <c r="R49" s="1"/>
    </row>
    <row r="50" spans="1:18">
      <c r="B50" s="1"/>
      <c r="C50" s="56"/>
      <c r="E50" s="182"/>
      <c r="R50" s="1"/>
    </row>
    <row r="51" spans="1:18">
      <c r="B51" s="1"/>
      <c r="C51" s="56"/>
      <c r="E51" s="182"/>
      <c r="R51" s="1"/>
    </row>
    <row r="52" spans="1:18">
      <c r="A52" s="126"/>
      <c r="B52" s="1" t="s">
        <v>1662</v>
      </c>
      <c r="C52" s="56"/>
      <c r="E52" s="182"/>
      <c r="R52" s="1"/>
    </row>
    <row r="53" spans="1:18">
      <c r="A53" s="23">
        <f>COUNT($A$5:A52)+1</f>
        <v>9</v>
      </c>
      <c r="B53" s="1" t="s">
        <v>1663</v>
      </c>
      <c r="C53" s="56"/>
      <c r="E53" s="182"/>
      <c r="R53" s="1"/>
    </row>
    <row r="54" spans="1:18" ht="105">
      <c r="A54" s="126"/>
      <c r="B54" s="1" t="s">
        <v>1664</v>
      </c>
      <c r="C54" s="56"/>
      <c r="E54" s="182"/>
      <c r="R54" s="1"/>
    </row>
    <row r="55" spans="1:18">
      <c r="A55" s="126"/>
      <c r="B55" s="1" t="s">
        <v>227</v>
      </c>
      <c r="C55" s="31"/>
      <c r="D55" s="105"/>
      <c r="E55" s="182"/>
      <c r="R55" s="1"/>
    </row>
    <row r="56" spans="1:18">
      <c r="A56" s="126"/>
      <c r="B56" s="1" t="s">
        <v>1666</v>
      </c>
      <c r="C56" s="31" t="s">
        <v>18</v>
      </c>
      <c r="D56" s="105">
        <v>3</v>
      </c>
      <c r="E56" s="182"/>
      <c r="R56" s="1"/>
    </row>
    <row r="57" spans="1:18">
      <c r="B57" s="24" t="s">
        <v>1665</v>
      </c>
      <c r="C57" s="31" t="s">
        <v>18</v>
      </c>
      <c r="D57" s="105">
        <v>1</v>
      </c>
    </row>
    <row r="60" spans="1:18">
      <c r="A60" s="172" t="s">
        <v>688</v>
      </c>
      <c r="B60" s="173" t="s">
        <v>3369</v>
      </c>
      <c r="C60" s="219"/>
      <c r="D60" s="220"/>
      <c r="E60" s="193"/>
      <c r="F60" s="193"/>
    </row>
  </sheetData>
  <pageMargins left="0.7" right="0.7" top="0.78749999999999998"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26.xml><?xml version="1.0" encoding="utf-8"?>
<worksheet xmlns="http://schemas.openxmlformats.org/spreadsheetml/2006/main" xmlns:r="http://schemas.openxmlformats.org/officeDocument/2006/relationships">
  <sheetPr>
    <tabColor rgb="FF00B050"/>
  </sheetPr>
  <dimension ref="A1:J1203"/>
  <sheetViews>
    <sheetView showZeros="0" view="pageBreakPreview" topLeftCell="A913" zoomScaleNormal="100" zoomScaleSheetLayoutView="100" workbookViewId="0">
      <selection activeCell="E918" sqref="E918:F1203"/>
    </sheetView>
  </sheetViews>
  <sheetFormatPr defaultColWidth="9.140625" defaultRowHeight="15"/>
  <cols>
    <col min="1" max="1" width="8.7109375" style="9" customWidth="1"/>
    <col min="2" max="2" width="44.85546875" style="299" customWidth="1"/>
    <col min="3" max="3" width="8.5703125" style="296" customWidth="1"/>
    <col min="4" max="4" width="10.5703125" style="306" customWidth="1"/>
    <col min="5" max="5" width="13.85546875" style="308" customWidth="1"/>
    <col min="6" max="6" width="16.5703125" style="308" customWidth="1"/>
    <col min="7" max="16384" width="9.140625" style="12"/>
  </cols>
  <sheetData>
    <row r="1" spans="1:6">
      <c r="A1" s="285" t="s">
        <v>260</v>
      </c>
      <c r="B1" s="285" t="s">
        <v>261</v>
      </c>
      <c r="C1" s="302" t="s">
        <v>262</v>
      </c>
      <c r="D1" s="303" t="s">
        <v>263</v>
      </c>
      <c r="E1" s="304" t="s">
        <v>264</v>
      </c>
      <c r="F1" s="305" t="s">
        <v>265</v>
      </c>
    </row>
    <row r="2" spans="1:6">
      <c r="B2" s="6"/>
      <c r="E2" s="307"/>
    </row>
    <row r="3" spans="1:6">
      <c r="A3" s="18" t="s">
        <v>689</v>
      </c>
      <c r="B3" s="5" t="s">
        <v>818</v>
      </c>
      <c r="E3" s="307"/>
    </row>
    <row r="4" spans="1:6">
      <c r="B4" s="6"/>
      <c r="E4" s="307"/>
    </row>
    <row r="5" spans="1:6" ht="30">
      <c r="A5" s="18" t="s">
        <v>267</v>
      </c>
      <c r="B5" s="5" t="s">
        <v>1730</v>
      </c>
      <c r="C5" s="5"/>
      <c r="D5" s="5"/>
      <c r="E5" s="313"/>
      <c r="F5" s="314"/>
    </row>
    <row r="6" spans="1:6">
      <c r="A6" s="18"/>
      <c r="B6" s="5"/>
      <c r="C6" s="315"/>
      <c r="D6" s="316"/>
      <c r="E6" s="313"/>
      <c r="F6" s="314"/>
    </row>
    <row r="7" spans="1:6" s="6" customFormat="1">
      <c r="A7" s="6" t="s">
        <v>282</v>
      </c>
      <c r="B7" s="718" t="s">
        <v>1731</v>
      </c>
      <c r="C7" s="718"/>
      <c r="D7" s="718"/>
      <c r="E7" s="718"/>
      <c r="F7" s="718"/>
    </row>
    <row r="8" spans="1:6" s="6" customFormat="1">
      <c r="B8" s="718"/>
      <c r="C8" s="718"/>
      <c r="D8" s="718"/>
      <c r="E8" s="718"/>
      <c r="F8" s="718"/>
    </row>
    <row r="9" spans="1:6" s="6" customFormat="1">
      <c r="A9" s="6" t="s">
        <v>294</v>
      </c>
      <c r="B9" s="718" t="s">
        <v>1732</v>
      </c>
      <c r="C9" s="718"/>
      <c r="D9" s="718"/>
      <c r="E9" s="718"/>
      <c r="F9" s="718"/>
    </row>
    <row r="10" spans="1:6" s="6" customFormat="1">
      <c r="B10" s="718" t="s">
        <v>1733</v>
      </c>
      <c r="C10" s="718"/>
      <c r="D10" s="718"/>
      <c r="E10" s="718"/>
      <c r="F10" s="718"/>
    </row>
    <row r="11" spans="1:6" s="6" customFormat="1">
      <c r="B11" s="718"/>
      <c r="C11" s="718"/>
      <c r="D11" s="718"/>
      <c r="E11" s="718"/>
      <c r="F11" s="718"/>
    </row>
    <row r="12" spans="1:6" s="6" customFormat="1">
      <c r="A12" s="6" t="s">
        <v>288</v>
      </c>
      <c r="B12" s="718" t="s">
        <v>1734</v>
      </c>
      <c r="C12" s="718"/>
      <c r="D12" s="718"/>
      <c r="E12" s="718"/>
      <c r="F12" s="718"/>
    </row>
    <row r="13" spans="1:6" s="6" customFormat="1">
      <c r="B13" s="718"/>
      <c r="C13" s="718"/>
      <c r="D13" s="718"/>
      <c r="E13" s="718"/>
      <c r="F13" s="718"/>
    </row>
    <row r="14" spans="1:6" s="6" customFormat="1">
      <c r="A14" s="6" t="s">
        <v>281</v>
      </c>
      <c r="B14" s="718" t="s">
        <v>1735</v>
      </c>
      <c r="C14" s="718"/>
      <c r="D14" s="718"/>
      <c r="E14" s="718"/>
      <c r="F14" s="718"/>
    </row>
    <row r="15" spans="1:6" s="6" customFormat="1">
      <c r="B15" s="718" t="s">
        <v>1736</v>
      </c>
      <c r="C15" s="718"/>
      <c r="D15" s="718"/>
      <c r="E15" s="718"/>
      <c r="F15" s="718"/>
    </row>
    <row r="16" spans="1:6" s="6" customFormat="1">
      <c r="B16" s="718"/>
      <c r="C16" s="718"/>
      <c r="D16" s="718"/>
      <c r="E16" s="718"/>
      <c r="F16" s="718"/>
    </row>
    <row r="17" spans="1:6" s="6" customFormat="1">
      <c r="A17" s="6" t="s">
        <v>293</v>
      </c>
      <c r="B17" s="718" t="s">
        <v>1737</v>
      </c>
      <c r="C17" s="718"/>
      <c r="D17" s="718"/>
      <c r="E17" s="718"/>
      <c r="F17" s="718"/>
    </row>
    <row r="18" spans="1:6" s="6" customFormat="1">
      <c r="B18" s="718"/>
      <c r="C18" s="718"/>
      <c r="D18" s="718"/>
      <c r="E18" s="718"/>
      <c r="F18" s="718"/>
    </row>
    <row r="19" spans="1:6" s="6" customFormat="1">
      <c r="A19" s="6" t="s">
        <v>300</v>
      </c>
      <c r="B19" s="718" t="s">
        <v>1738</v>
      </c>
      <c r="C19" s="718"/>
      <c r="D19" s="718"/>
      <c r="E19" s="718"/>
      <c r="F19" s="718"/>
    </row>
    <row r="20" spans="1:6" s="6" customFormat="1">
      <c r="B20" s="718"/>
      <c r="C20" s="718"/>
      <c r="D20" s="718"/>
      <c r="E20" s="718"/>
      <c r="F20" s="718"/>
    </row>
    <row r="21" spans="1:6" s="6" customFormat="1">
      <c r="A21" s="6" t="s">
        <v>301</v>
      </c>
      <c r="B21" s="718" t="s">
        <v>1739</v>
      </c>
      <c r="C21" s="718"/>
      <c r="D21" s="718"/>
      <c r="E21" s="718"/>
      <c r="F21" s="718"/>
    </row>
    <row r="22" spans="1:6" s="6" customFormat="1">
      <c r="B22" s="718" t="s">
        <v>1740</v>
      </c>
      <c r="C22" s="718"/>
      <c r="D22" s="718"/>
      <c r="E22" s="718"/>
      <c r="F22" s="718"/>
    </row>
    <row r="23" spans="1:6" s="6" customFormat="1">
      <c r="B23" s="718"/>
      <c r="C23" s="718"/>
      <c r="D23" s="718"/>
      <c r="E23" s="718"/>
      <c r="F23" s="718"/>
    </row>
    <row r="24" spans="1:6" s="6" customFormat="1">
      <c r="A24" s="6" t="s">
        <v>302</v>
      </c>
      <c r="B24" s="718" t="s">
        <v>1741</v>
      </c>
      <c r="C24" s="718"/>
      <c r="D24" s="718"/>
      <c r="E24" s="718"/>
      <c r="F24" s="718"/>
    </row>
    <row r="25" spans="1:6">
      <c r="A25" s="719"/>
      <c r="B25" s="719"/>
      <c r="C25" s="315"/>
      <c r="D25" s="316"/>
      <c r="E25" s="313"/>
      <c r="F25" s="314"/>
    </row>
    <row r="26" spans="1:6" s="6" customFormat="1">
      <c r="A26" s="6" t="s">
        <v>303</v>
      </c>
      <c r="B26" s="718" t="s">
        <v>1742</v>
      </c>
      <c r="C26" s="718"/>
      <c r="D26" s="718"/>
      <c r="E26" s="718"/>
      <c r="F26" s="718"/>
    </row>
    <row r="27" spans="1:6" s="6" customFormat="1">
      <c r="B27" s="718"/>
      <c r="C27" s="718"/>
      <c r="D27" s="718"/>
      <c r="E27" s="718"/>
      <c r="F27" s="718"/>
    </row>
    <row r="28" spans="1:6" s="6" customFormat="1">
      <c r="B28" s="718" t="s">
        <v>1743</v>
      </c>
      <c r="C28" s="718"/>
      <c r="D28" s="718"/>
      <c r="E28" s="718"/>
      <c r="F28" s="718"/>
    </row>
    <row r="29" spans="1:6" s="6" customFormat="1">
      <c r="B29" s="718" t="s">
        <v>1744</v>
      </c>
      <c r="C29" s="718"/>
      <c r="D29" s="718"/>
      <c r="E29" s="718"/>
      <c r="F29" s="718"/>
    </row>
    <row r="30" spans="1:6" s="6" customFormat="1">
      <c r="B30" s="718" t="s">
        <v>1745</v>
      </c>
      <c r="C30" s="718"/>
      <c r="D30" s="718"/>
      <c r="E30" s="718"/>
      <c r="F30" s="718"/>
    </row>
    <row r="31" spans="1:6" s="6" customFormat="1">
      <c r="B31" s="718" t="s">
        <v>1746</v>
      </c>
      <c r="C31" s="718"/>
      <c r="D31" s="718"/>
      <c r="E31" s="718"/>
      <c r="F31" s="718"/>
    </row>
    <row r="32" spans="1:6" s="6" customFormat="1">
      <c r="B32" s="718" t="s">
        <v>1747</v>
      </c>
      <c r="C32" s="718"/>
      <c r="D32" s="718"/>
      <c r="E32" s="718"/>
      <c r="F32" s="718"/>
    </row>
    <row r="33" spans="2:6" s="6" customFormat="1">
      <c r="B33" s="718" t="s">
        <v>1748</v>
      </c>
      <c r="C33" s="718"/>
      <c r="D33" s="718"/>
      <c r="E33" s="718"/>
      <c r="F33" s="718"/>
    </row>
    <row r="34" spans="2:6" s="6" customFormat="1">
      <c r="B34" s="718" t="s">
        <v>1749</v>
      </c>
      <c r="C34" s="718"/>
      <c r="D34" s="718"/>
      <c r="E34" s="718"/>
      <c r="F34" s="718"/>
    </row>
    <row r="35" spans="2:6" s="6" customFormat="1">
      <c r="B35" s="718" t="s">
        <v>1750</v>
      </c>
      <c r="C35" s="718"/>
      <c r="D35" s="718"/>
      <c r="E35" s="718"/>
      <c r="F35" s="718"/>
    </row>
    <row r="36" spans="2:6" s="6" customFormat="1">
      <c r="B36" s="718" t="s">
        <v>1751</v>
      </c>
      <c r="C36" s="718"/>
      <c r="D36" s="718"/>
      <c r="E36" s="718"/>
      <c r="F36" s="718"/>
    </row>
    <row r="37" spans="2:6" s="6" customFormat="1">
      <c r="B37" s="718" t="s">
        <v>1752</v>
      </c>
      <c r="C37" s="718"/>
      <c r="D37" s="718"/>
      <c r="E37" s="718"/>
      <c r="F37" s="718"/>
    </row>
    <row r="38" spans="2:6" s="6" customFormat="1">
      <c r="B38" s="718" t="s">
        <v>1753</v>
      </c>
      <c r="C38" s="718"/>
      <c r="D38" s="718"/>
      <c r="E38" s="718"/>
      <c r="F38" s="718"/>
    </row>
    <row r="39" spans="2:6" s="6" customFormat="1">
      <c r="B39" s="718" t="s">
        <v>1754</v>
      </c>
      <c r="C39" s="718"/>
      <c r="D39" s="718"/>
      <c r="E39" s="718"/>
      <c r="F39" s="718"/>
    </row>
    <row r="40" spans="2:6" s="6" customFormat="1">
      <c r="B40" s="718" t="s">
        <v>1755</v>
      </c>
      <c r="C40" s="718"/>
      <c r="D40" s="718"/>
      <c r="E40" s="718"/>
      <c r="F40" s="718"/>
    </row>
    <row r="41" spans="2:6" s="6" customFormat="1">
      <c r="B41" s="718"/>
      <c r="C41" s="718"/>
      <c r="D41" s="718"/>
      <c r="E41" s="718"/>
      <c r="F41" s="718"/>
    </row>
    <row r="42" spans="2:6" s="6" customFormat="1">
      <c r="B42" s="718" t="s">
        <v>1756</v>
      </c>
      <c r="C42" s="718"/>
      <c r="D42" s="718"/>
      <c r="E42" s="718"/>
      <c r="F42" s="718"/>
    </row>
    <row r="43" spans="2:6" s="6" customFormat="1">
      <c r="B43" s="718" t="s">
        <v>1757</v>
      </c>
      <c r="C43" s="718"/>
      <c r="D43" s="718"/>
      <c r="E43" s="718"/>
      <c r="F43" s="718"/>
    </row>
    <row r="44" spans="2:6" s="6" customFormat="1">
      <c r="B44" s="718" t="s">
        <v>1746</v>
      </c>
      <c r="C44" s="718"/>
      <c r="D44" s="718"/>
      <c r="E44" s="718"/>
      <c r="F44" s="718"/>
    </row>
    <row r="45" spans="2:6" s="6" customFormat="1">
      <c r="B45" s="718" t="s">
        <v>1758</v>
      </c>
      <c r="C45" s="718"/>
      <c r="D45" s="718"/>
      <c r="E45" s="718"/>
      <c r="F45" s="718"/>
    </row>
    <row r="46" spans="2:6" s="6" customFormat="1">
      <c r="B46" s="718" t="s">
        <v>1759</v>
      </c>
      <c r="C46" s="718"/>
      <c r="D46" s="718"/>
      <c r="E46" s="718"/>
      <c r="F46" s="718"/>
    </row>
    <row r="47" spans="2:6" s="6" customFormat="1">
      <c r="B47" s="718" t="s">
        <v>1760</v>
      </c>
      <c r="C47" s="718"/>
      <c r="D47" s="718"/>
      <c r="E47" s="718"/>
      <c r="F47" s="718"/>
    </row>
    <row r="48" spans="2:6" s="6" customFormat="1">
      <c r="B48" s="718" t="s">
        <v>1761</v>
      </c>
      <c r="C48" s="718"/>
      <c r="D48" s="718"/>
      <c r="E48" s="718"/>
      <c r="F48" s="718"/>
    </row>
    <row r="49" spans="1:6" s="6" customFormat="1">
      <c r="B49" s="718" t="s">
        <v>1762</v>
      </c>
      <c r="C49" s="718"/>
      <c r="D49" s="718"/>
      <c r="E49" s="718"/>
      <c r="F49" s="718"/>
    </row>
    <row r="50" spans="1:6" s="6" customFormat="1">
      <c r="B50" s="718"/>
      <c r="C50" s="718"/>
      <c r="D50" s="718"/>
      <c r="E50" s="718"/>
      <c r="F50" s="718"/>
    </row>
    <row r="51" spans="1:6" s="6" customFormat="1">
      <c r="A51" s="6" t="s">
        <v>304</v>
      </c>
      <c r="B51" s="718" t="s">
        <v>1763</v>
      </c>
      <c r="C51" s="718"/>
      <c r="D51" s="718"/>
      <c r="E51" s="718"/>
      <c r="F51" s="718"/>
    </row>
    <row r="52" spans="1:6" s="6" customFormat="1">
      <c r="B52" s="718"/>
      <c r="C52" s="718"/>
      <c r="D52" s="718"/>
      <c r="E52" s="718"/>
      <c r="F52" s="718"/>
    </row>
    <row r="53" spans="1:6" s="6" customFormat="1">
      <c r="A53" s="6" t="s">
        <v>305</v>
      </c>
      <c r="B53" s="718" t="s">
        <v>1764</v>
      </c>
      <c r="C53" s="718"/>
      <c r="D53" s="718"/>
      <c r="E53" s="718"/>
      <c r="F53" s="718"/>
    </row>
    <row r="54" spans="1:6" s="6" customFormat="1">
      <c r="B54" s="718" t="s">
        <v>1765</v>
      </c>
      <c r="C54" s="718"/>
      <c r="D54" s="718"/>
      <c r="E54" s="718"/>
      <c r="F54" s="718"/>
    </row>
    <row r="55" spans="1:6" s="6" customFormat="1">
      <c r="B55" s="718"/>
      <c r="C55" s="718"/>
      <c r="D55" s="718"/>
      <c r="E55" s="718"/>
      <c r="F55" s="718"/>
    </row>
    <row r="56" spans="1:6" s="6" customFormat="1">
      <c r="B56" s="718"/>
      <c r="C56" s="718"/>
      <c r="D56" s="718"/>
      <c r="E56" s="718"/>
      <c r="F56" s="718"/>
    </row>
    <row r="57" spans="1:6" s="6" customFormat="1">
      <c r="A57" s="6" t="s">
        <v>306</v>
      </c>
      <c r="B57" s="718" t="s">
        <v>1766</v>
      </c>
      <c r="C57" s="718"/>
      <c r="D57" s="718"/>
      <c r="E57" s="718"/>
      <c r="F57" s="718"/>
    </row>
    <row r="58" spans="1:6" s="6" customFormat="1">
      <c r="B58" s="718" t="s">
        <v>1767</v>
      </c>
      <c r="C58" s="718"/>
      <c r="D58" s="718"/>
      <c r="E58" s="718"/>
      <c r="F58" s="718"/>
    </row>
    <row r="59" spans="1:6" s="6" customFormat="1">
      <c r="B59" s="718" t="s">
        <v>1768</v>
      </c>
      <c r="C59" s="718"/>
      <c r="D59" s="718"/>
      <c r="E59" s="718"/>
      <c r="F59" s="718"/>
    </row>
    <row r="60" spans="1:6" s="6" customFormat="1">
      <c r="B60" s="718"/>
      <c r="C60" s="718"/>
      <c r="D60" s="718"/>
      <c r="E60" s="718"/>
      <c r="F60" s="718"/>
    </row>
    <row r="61" spans="1:6" s="6" customFormat="1">
      <c r="A61" s="6" t="s">
        <v>307</v>
      </c>
      <c r="B61" s="718" t="s">
        <v>1769</v>
      </c>
      <c r="C61" s="718"/>
      <c r="D61" s="718"/>
      <c r="E61" s="718"/>
      <c r="F61" s="718"/>
    </row>
    <row r="62" spans="1:6" s="6" customFormat="1">
      <c r="B62" s="718" t="s">
        <v>1770</v>
      </c>
      <c r="C62" s="718"/>
      <c r="D62" s="718"/>
      <c r="E62" s="718"/>
      <c r="F62" s="718"/>
    </row>
    <row r="63" spans="1:6" s="6" customFormat="1">
      <c r="B63" s="718"/>
      <c r="C63" s="718"/>
      <c r="D63" s="718"/>
      <c r="E63" s="718"/>
      <c r="F63" s="718"/>
    </row>
    <row r="64" spans="1:6" s="6" customFormat="1">
      <c r="A64" s="6" t="s">
        <v>308</v>
      </c>
      <c r="B64" s="718" t="s">
        <v>1771</v>
      </c>
      <c r="C64" s="718"/>
      <c r="D64" s="718"/>
      <c r="E64" s="718"/>
      <c r="F64" s="718"/>
    </row>
    <row r="65" spans="1:6" s="6" customFormat="1">
      <c r="B65" s="718"/>
      <c r="C65" s="718"/>
      <c r="D65" s="718"/>
      <c r="E65" s="718"/>
      <c r="F65" s="718"/>
    </row>
    <row r="66" spans="1:6" s="6" customFormat="1">
      <c r="A66" s="6" t="s">
        <v>309</v>
      </c>
      <c r="B66" s="718" t="s">
        <v>1772</v>
      </c>
      <c r="C66" s="718"/>
      <c r="D66" s="718"/>
      <c r="E66" s="718"/>
      <c r="F66" s="718"/>
    </row>
    <row r="67" spans="1:6" s="6" customFormat="1">
      <c r="B67" s="718"/>
      <c r="C67" s="718"/>
      <c r="D67" s="718"/>
      <c r="E67" s="718"/>
      <c r="F67" s="718"/>
    </row>
    <row r="68" spans="1:6" s="6" customFormat="1">
      <c r="A68" s="6" t="s">
        <v>310</v>
      </c>
      <c r="B68" s="718" t="s">
        <v>1773</v>
      </c>
      <c r="C68" s="718"/>
      <c r="D68" s="718"/>
      <c r="E68" s="718"/>
      <c r="F68" s="718"/>
    </row>
    <row r="69" spans="1:6" s="6" customFormat="1">
      <c r="B69" s="718"/>
      <c r="C69" s="718"/>
      <c r="D69" s="718"/>
      <c r="E69" s="718"/>
      <c r="F69" s="718"/>
    </row>
    <row r="70" spans="1:6" s="6" customFormat="1">
      <c r="A70" s="6" t="s">
        <v>311</v>
      </c>
      <c r="B70" s="718" t="s">
        <v>1774</v>
      </c>
      <c r="C70" s="718"/>
      <c r="D70" s="718"/>
      <c r="E70" s="718"/>
      <c r="F70" s="718"/>
    </row>
    <row r="71" spans="1:6" s="6" customFormat="1">
      <c r="B71" s="718"/>
      <c r="C71" s="718"/>
      <c r="D71" s="718"/>
      <c r="E71" s="718"/>
      <c r="F71" s="718"/>
    </row>
    <row r="72" spans="1:6" s="6" customFormat="1">
      <c r="A72" s="6" t="s">
        <v>1775</v>
      </c>
      <c r="B72" s="718" t="s">
        <v>1776</v>
      </c>
      <c r="C72" s="718"/>
      <c r="D72" s="718"/>
      <c r="E72" s="718"/>
      <c r="F72" s="718"/>
    </row>
    <row r="73" spans="1:6" s="6" customFormat="1">
      <c r="B73" s="718" t="s">
        <v>1777</v>
      </c>
      <c r="C73" s="718"/>
      <c r="D73" s="718"/>
      <c r="E73" s="718"/>
      <c r="F73" s="718"/>
    </row>
    <row r="74" spans="1:6" s="6" customFormat="1">
      <c r="B74" s="718"/>
      <c r="C74" s="718"/>
      <c r="D74" s="718"/>
      <c r="E74" s="718"/>
      <c r="F74" s="718"/>
    </row>
    <row r="75" spans="1:6" s="6" customFormat="1">
      <c r="A75" s="6" t="s">
        <v>1778</v>
      </c>
      <c r="B75" s="718" t="s">
        <v>1779</v>
      </c>
      <c r="C75" s="718"/>
      <c r="D75" s="718"/>
      <c r="E75" s="718"/>
      <c r="F75" s="718"/>
    </row>
    <row r="76" spans="1:6" s="6" customFormat="1">
      <c r="B76" s="718"/>
      <c r="C76" s="718"/>
      <c r="D76" s="718"/>
      <c r="E76" s="718"/>
      <c r="F76" s="718"/>
    </row>
    <row r="77" spans="1:6" s="6" customFormat="1">
      <c r="A77" s="6" t="s">
        <v>1780</v>
      </c>
      <c r="B77" s="718" t="s">
        <v>1781</v>
      </c>
      <c r="C77" s="718"/>
      <c r="D77" s="718"/>
      <c r="E77" s="718"/>
      <c r="F77" s="718"/>
    </row>
    <row r="78" spans="1:6" s="6" customFormat="1">
      <c r="B78" s="718"/>
      <c r="C78" s="718"/>
      <c r="D78" s="718"/>
      <c r="E78" s="718"/>
      <c r="F78" s="718"/>
    </row>
    <row r="79" spans="1:6" s="6" customFormat="1">
      <c r="A79" s="6" t="s">
        <v>1782</v>
      </c>
      <c r="B79" s="718" t="s">
        <v>1783</v>
      </c>
      <c r="C79" s="718"/>
      <c r="D79" s="718"/>
      <c r="E79" s="718"/>
      <c r="F79" s="718"/>
    </row>
    <row r="80" spans="1:6" s="6" customFormat="1" ht="35.25" customHeight="1">
      <c r="B80" s="718" t="s">
        <v>1784</v>
      </c>
      <c r="C80" s="718"/>
      <c r="D80" s="718"/>
      <c r="E80" s="718"/>
      <c r="F80" s="718"/>
    </row>
    <row r="81" spans="1:6" s="6" customFormat="1">
      <c r="B81" s="718"/>
      <c r="C81" s="718"/>
      <c r="D81" s="718"/>
      <c r="E81" s="718"/>
      <c r="F81" s="718"/>
    </row>
    <row r="82" spans="1:6" s="6" customFormat="1">
      <c r="A82" s="6" t="s">
        <v>1785</v>
      </c>
      <c r="B82" s="718" t="s">
        <v>1786</v>
      </c>
      <c r="C82" s="718"/>
      <c r="D82" s="718"/>
      <c r="E82" s="718"/>
      <c r="F82" s="718"/>
    </row>
    <row r="83" spans="1:6" s="6" customFormat="1">
      <c r="B83" s="718"/>
      <c r="C83" s="718"/>
      <c r="D83" s="718"/>
      <c r="E83" s="718"/>
      <c r="F83" s="718"/>
    </row>
    <row r="84" spans="1:6" s="6" customFormat="1">
      <c r="A84" s="6" t="s">
        <v>1787</v>
      </c>
      <c r="B84" s="718" t="s">
        <v>1788</v>
      </c>
      <c r="C84" s="718"/>
      <c r="D84" s="718"/>
      <c r="E84" s="718"/>
      <c r="F84" s="718"/>
    </row>
    <row r="85" spans="1:6" s="6" customFormat="1">
      <c r="B85" s="718"/>
      <c r="C85" s="718"/>
      <c r="D85" s="718"/>
      <c r="E85" s="718"/>
      <c r="F85" s="718"/>
    </row>
    <row r="86" spans="1:6" s="6" customFormat="1" ht="47.25" customHeight="1">
      <c r="A86" s="6" t="s">
        <v>1789</v>
      </c>
      <c r="B86" s="718" t="s">
        <v>1790</v>
      </c>
      <c r="C86" s="718"/>
      <c r="D86" s="718"/>
      <c r="E86" s="718"/>
      <c r="F86" s="718"/>
    </row>
    <row r="87" spans="1:6" s="6" customFormat="1">
      <c r="B87" s="718"/>
      <c r="C87" s="718"/>
      <c r="D87" s="718"/>
      <c r="E87" s="718"/>
      <c r="F87" s="718"/>
    </row>
    <row r="88" spans="1:6" s="6" customFormat="1">
      <c r="B88" s="718" t="s">
        <v>1791</v>
      </c>
      <c r="C88" s="718"/>
      <c r="D88" s="718"/>
      <c r="E88" s="718"/>
      <c r="F88" s="718"/>
    </row>
    <row r="89" spans="1:6" s="6" customFormat="1">
      <c r="B89" s="718" t="s">
        <v>1792</v>
      </c>
      <c r="C89" s="718"/>
      <c r="D89" s="718"/>
      <c r="E89" s="718"/>
      <c r="F89" s="718"/>
    </row>
    <row r="90" spans="1:6" s="6" customFormat="1">
      <c r="B90" s="718" t="s">
        <v>1793</v>
      </c>
      <c r="C90" s="718"/>
      <c r="D90" s="718"/>
      <c r="E90" s="718"/>
      <c r="F90" s="718"/>
    </row>
    <row r="91" spans="1:6" s="6" customFormat="1">
      <c r="B91" s="718" t="s">
        <v>1794</v>
      </c>
      <c r="C91" s="718"/>
      <c r="D91" s="718"/>
      <c r="E91" s="718"/>
      <c r="F91" s="718"/>
    </row>
    <row r="92" spans="1:6" s="6" customFormat="1">
      <c r="B92" s="718" t="s">
        <v>1795</v>
      </c>
      <c r="C92" s="718"/>
      <c r="D92" s="718"/>
      <c r="E92" s="718"/>
      <c r="F92" s="718"/>
    </row>
    <row r="93" spans="1:6" s="6" customFormat="1">
      <c r="B93" s="718"/>
      <c r="C93" s="718"/>
      <c r="D93" s="718"/>
      <c r="E93" s="718"/>
      <c r="F93" s="718"/>
    </row>
    <row r="94" spans="1:6" s="6" customFormat="1">
      <c r="B94" s="718" t="s">
        <v>1796</v>
      </c>
      <c r="C94" s="718"/>
      <c r="D94" s="718"/>
      <c r="E94" s="718"/>
      <c r="F94" s="718"/>
    </row>
    <row r="95" spans="1:6">
      <c r="A95" s="18"/>
      <c r="B95" s="6"/>
      <c r="C95" s="315"/>
      <c r="D95" s="316"/>
      <c r="E95" s="313"/>
      <c r="F95" s="314"/>
    </row>
    <row r="96" spans="1:6">
      <c r="A96" s="18"/>
      <c r="B96" s="6"/>
      <c r="C96" s="315"/>
      <c r="D96" s="316"/>
      <c r="E96" s="313"/>
      <c r="F96" s="314"/>
    </row>
    <row r="97" spans="1:6">
      <c r="A97" s="18"/>
      <c r="B97" s="6"/>
      <c r="C97" s="315"/>
      <c r="D97" s="316"/>
      <c r="E97" s="313"/>
      <c r="F97" s="314"/>
    </row>
    <row r="98" spans="1:6" s="317" customFormat="1">
      <c r="A98" s="317" t="s">
        <v>2442</v>
      </c>
      <c r="B98" s="317" t="s">
        <v>1797</v>
      </c>
      <c r="D98" s="318"/>
      <c r="E98" s="318"/>
      <c r="F98" s="318"/>
    </row>
    <row r="99" spans="1:6" s="324" customFormat="1">
      <c r="A99" s="319"/>
      <c r="B99" s="320"/>
      <c r="C99" s="321"/>
      <c r="D99" s="321"/>
      <c r="E99" s="322"/>
      <c r="F99" s="323"/>
    </row>
    <row r="100" spans="1:6" s="6" customFormat="1" ht="60">
      <c r="A100" s="6" t="s">
        <v>282</v>
      </c>
      <c r="B100" s="6" t="s">
        <v>1798</v>
      </c>
      <c r="C100" s="325"/>
      <c r="D100" s="326"/>
      <c r="E100" s="326"/>
      <c r="F100" s="326"/>
    </row>
    <row r="101" spans="1:6" s="6" customFormat="1" ht="30">
      <c r="B101" s="6" t="s">
        <v>1799</v>
      </c>
      <c r="C101" s="325" t="s">
        <v>1800</v>
      </c>
      <c r="D101" s="326">
        <v>1</v>
      </c>
      <c r="E101" s="326"/>
      <c r="F101" s="326"/>
    </row>
    <row r="102" spans="1:6" s="6" customFormat="1">
      <c r="B102" s="6" t="s">
        <v>1801</v>
      </c>
      <c r="C102" s="325" t="s">
        <v>1800</v>
      </c>
      <c r="D102" s="326">
        <v>3</v>
      </c>
      <c r="E102" s="326"/>
      <c r="F102" s="326"/>
    </row>
    <row r="103" spans="1:6" s="6" customFormat="1">
      <c r="B103" s="6" t="s">
        <v>1802</v>
      </c>
      <c r="C103" s="325" t="s">
        <v>18</v>
      </c>
      <c r="D103" s="326">
        <v>2</v>
      </c>
      <c r="E103" s="326"/>
      <c r="F103" s="326"/>
    </row>
    <row r="104" spans="1:6" s="6" customFormat="1" ht="30">
      <c r="B104" s="6" t="s">
        <v>1803</v>
      </c>
      <c r="C104" s="325" t="s">
        <v>18</v>
      </c>
      <c r="D104" s="326">
        <v>2</v>
      </c>
      <c r="E104" s="326"/>
      <c r="F104" s="326"/>
    </row>
    <row r="105" spans="1:6" s="6" customFormat="1" ht="30">
      <c r="B105" s="6" t="s">
        <v>1804</v>
      </c>
      <c r="C105" s="325" t="s">
        <v>18</v>
      </c>
      <c r="D105" s="326">
        <v>2</v>
      </c>
      <c r="E105" s="326"/>
      <c r="F105" s="326"/>
    </row>
    <row r="106" spans="1:6" s="6" customFormat="1" ht="30">
      <c r="B106" s="6" t="s">
        <v>1805</v>
      </c>
      <c r="C106" s="325" t="s">
        <v>18</v>
      </c>
      <c r="D106" s="326">
        <v>2</v>
      </c>
      <c r="E106" s="326"/>
      <c r="F106" s="326"/>
    </row>
    <row r="107" spans="1:6" s="6" customFormat="1" ht="30">
      <c r="B107" s="6" t="s">
        <v>1806</v>
      </c>
      <c r="C107" s="325" t="s">
        <v>18</v>
      </c>
      <c r="D107" s="326">
        <v>2</v>
      </c>
      <c r="E107" s="326"/>
      <c r="F107" s="326"/>
    </row>
    <row r="108" spans="1:6" s="6" customFormat="1">
      <c r="B108" s="6" t="s">
        <v>1807</v>
      </c>
      <c r="C108" s="325" t="s">
        <v>18</v>
      </c>
      <c r="D108" s="326">
        <v>4</v>
      </c>
      <c r="E108" s="326"/>
      <c r="F108" s="326"/>
    </row>
    <row r="109" spans="1:6" s="6" customFormat="1">
      <c r="B109" s="6" t="s">
        <v>1808</v>
      </c>
      <c r="C109" s="325" t="s">
        <v>18</v>
      </c>
      <c r="D109" s="326">
        <v>3</v>
      </c>
      <c r="E109" s="326"/>
      <c r="F109" s="326"/>
    </row>
    <row r="110" spans="1:6" s="6" customFormat="1">
      <c r="B110" s="6" t="s">
        <v>1809</v>
      </c>
      <c r="C110" s="325" t="s">
        <v>18</v>
      </c>
      <c r="D110" s="326">
        <v>1</v>
      </c>
      <c r="E110" s="326"/>
      <c r="F110" s="326"/>
    </row>
    <row r="111" spans="1:6" s="6" customFormat="1" ht="30">
      <c r="B111" s="6" t="s">
        <v>1810</v>
      </c>
      <c r="C111" s="325" t="s">
        <v>1800</v>
      </c>
      <c r="D111" s="326">
        <v>1</v>
      </c>
      <c r="E111" s="326"/>
      <c r="F111" s="326"/>
    </row>
    <row r="112" spans="1:6" s="6" customFormat="1" ht="30">
      <c r="B112" s="6" t="s">
        <v>1811</v>
      </c>
      <c r="C112" s="325" t="s">
        <v>1800</v>
      </c>
      <c r="D112" s="326">
        <v>1</v>
      </c>
      <c r="E112" s="326"/>
      <c r="F112" s="326"/>
    </row>
    <row r="113" spans="1:7" s="6" customFormat="1">
      <c r="B113" s="6" t="s">
        <v>1812</v>
      </c>
      <c r="C113" s="325" t="s">
        <v>1800</v>
      </c>
      <c r="D113" s="326">
        <v>1</v>
      </c>
      <c r="E113" s="326"/>
      <c r="F113" s="326"/>
    </row>
    <row r="114" spans="1:7" s="6" customFormat="1" ht="30">
      <c r="B114" s="6" t="s">
        <v>1813</v>
      </c>
      <c r="C114" s="325" t="s">
        <v>1800</v>
      </c>
      <c r="D114" s="326">
        <v>1</v>
      </c>
      <c r="E114" s="326"/>
      <c r="F114" s="326"/>
    </row>
    <row r="115" spans="1:7" s="6" customFormat="1" ht="30">
      <c r="B115" s="6" t="s">
        <v>1814</v>
      </c>
      <c r="C115" s="325" t="s">
        <v>1800</v>
      </c>
      <c r="D115" s="326">
        <v>1</v>
      </c>
      <c r="E115" s="326"/>
      <c r="F115" s="326"/>
    </row>
    <row r="116" spans="1:7" s="6" customFormat="1">
      <c r="B116" s="6" t="s">
        <v>1815</v>
      </c>
      <c r="C116" s="325" t="s">
        <v>1800</v>
      </c>
      <c r="D116" s="326">
        <v>3</v>
      </c>
      <c r="E116" s="326"/>
      <c r="F116" s="326"/>
    </row>
    <row r="117" spans="1:7" s="6" customFormat="1">
      <c r="B117" s="6" t="s">
        <v>1816</v>
      </c>
      <c r="C117" s="325" t="s">
        <v>18</v>
      </c>
      <c r="D117" s="326">
        <v>1</v>
      </c>
      <c r="E117" s="326"/>
      <c r="F117" s="326"/>
    </row>
    <row r="118" spans="1:7" s="6" customFormat="1" ht="45">
      <c r="B118" s="6" t="s">
        <v>1817</v>
      </c>
      <c r="C118" s="325" t="s">
        <v>1800</v>
      </c>
      <c r="D118" s="326">
        <v>1</v>
      </c>
      <c r="E118" s="326"/>
      <c r="F118" s="326"/>
    </row>
    <row r="119" spans="1:7" s="6" customFormat="1" ht="45">
      <c r="B119" s="6" t="s">
        <v>1818</v>
      </c>
      <c r="C119" s="325" t="s">
        <v>1800</v>
      </c>
      <c r="D119" s="326">
        <v>1</v>
      </c>
      <c r="E119" s="326"/>
      <c r="F119" s="326"/>
    </row>
    <row r="120" spans="1:7" s="6" customFormat="1" ht="45">
      <c r="B120" s="6" t="s">
        <v>1819</v>
      </c>
      <c r="C120" s="325" t="s">
        <v>1800</v>
      </c>
      <c r="D120" s="326">
        <v>2</v>
      </c>
      <c r="E120" s="326"/>
      <c r="F120" s="326"/>
    </row>
    <row r="121" spans="1:7" s="6" customFormat="1">
      <c r="B121" s="6" t="s">
        <v>1820</v>
      </c>
      <c r="C121" s="325" t="s">
        <v>1800</v>
      </c>
      <c r="D121" s="326">
        <v>2</v>
      </c>
      <c r="E121" s="326"/>
      <c r="F121" s="326"/>
    </row>
    <row r="122" spans="1:7" s="6" customFormat="1">
      <c r="B122" s="6" t="s">
        <v>1821</v>
      </c>
      <c r="C122" s="325" t="s">
        <v>1800</v>
      </c>
      <c r="D122" s="326">
        <v>4</v>
      </c>
      <c r="E122" s="326"/>
      <c r="F122" s="326"/>
    </row>
    <row r="123" spans="1:7" s="6" customFormat="1">
      <c r="B123" s="6" t="s">
        <v>1822</v>
      </c>
      <c r="C123" s="325" t="s">
        <v>1823</v>
      </c>
      <c r="D123" s="326">
        <v>1</v>
      </c>
      <c r="E123" s="326"/>
      <c r="F123" s="326"/>
    </row>
    <row r="124" spans="1:7" s="6" customFormat="1">
      <c r="B124" s="6" t="s">
        <v>1824</v>
      </c>
      <c r="C124" s="325" t="s">
        <v>1800</v>
      </c>
      <c r="D124" s="326">
        <v>1</v>
      </c>
      <c r="E124" s="326"/>
      <c r="F124" s="326"/>
      <c r="G124" s="327"/>
    </row>
    <row r="125" spans="1:7" s="6" customFormat="1" ht="30">
      <c r="B125" s="6" t="s">
        <v>1825</v>
      </c>
      <c r="C125" s="325" t="s">
        <v>1823</v>
      </c>
      <c r="D125" s="326">
        <v>1</v>
      </c>
      <c r="E125" s="326"/>
      <c r="F125" s="326"/>
    </row>
    <row r="126" spans="1:7" s="6" customFormat="1">
      <c r="B126" s="6" t="s">
        <v>1826</v>
      </c>
      <c r="C126" s="325" t="s">
        <v>1823</v>
      </c>
      <c r="D126" s="326">
        <v>1</v>
      </c>
      <c r="E126" s="326"/>
      <c r="F126" s="326"/>
    </row>
    <row r="127" spans="1:7" s="6" customFormat="1">
      <c r="C127" s="325"/>
      <c r="D127" s="327"/>
      <c r="E127" s="327"/>
      <c r="F127" s="327"/>
    </row>
    <row r="128" spans="1:7" s="6" customFormat="1" ht="60">
      <c r="A128" s="6" t="s">
        <v>294</v>
      </c>
      <c r="B128" s="6" t="s">
        <v>1827</v>
      </c>
      <c r="C128" s="325" t="s">
        <v>1823</v>
      </c>
      <c r="D128" s="326">
        <v>1</v>
      </c>
      <c r="E128" s="326"/>
      <c r="F128" s="326"/>
    </row>
    <row r="129" spans="1:7" s="6" customFormat="1">
      <c r="D129" s="327"/>
      <c r="E129" s="327"/>
      <c r="F129" s="327"/>
    </row>
    <row r="130" spans="1:7" s="5" customFormat="1">
      <c r="B130" s="5" t="s">
        <v>1828</v>
      </c>
      <c r="C130" s="260"/>
      <c r="D130" s="328"/>
      <c r="E130" s="328"/>
      <c r="F130" s="328"/>
      <c r="G130" s="6"/>
    </row>
    <row r="131" spans="1:7" s="5" customFormat="1">
      <c r="D131" s="329"/>
      <c r="E131" s="329"/>
      <c r="F131" s="329"/>
      <c r="G131" s="6"/>
    </row>
    <row r="132" spans="1:7" s="5" customFormat="1">
      <c r="D132" s="329"/>
      <c r="E132" s="329"/>
      <c r="F132" s="329"/>
      <c r="G132" s="6"/>
    </row>
    <row r="133" spans="1:7" s="5" customFormat="1">
      <c r="D133" s="329"/>
      <c r="E133" s="329"/>
      <c r="F133" s="329"/>
      <c r="G133" s="6"/>
    </row>
    <row r="134" spans="1:7" s="317" customFormat="1">
      <c r="A134" s="317" t="s">
        <v>2443</v>
      </c>
      <c r="B134" s="317" t="s">
        <v>1829</v>
      </c>
      <c r="C134" s="330"/>
      <c r="D134" s="331"/>
      <c r="E134" s="331"/>
      <c r="F134" s="331"/>
      <c r="G134" s="6"/>
    </row>
    <row r="135" spans="1:7" s="6" customFormat="1">
      <c r="D135" s="327"/>
      <c r="E135" s="327"/>
      <c r="F135" s="327"/>
      <c r="G135" s="327"/>
    </row>
    <row r="136" spans="1:7" s="6" customFormat="1" ht="75">
      <c r="A136" s="6" t="s">
        <v>282</v>
      </c>
      <c r="B136" s="6" t="s">
        <v>2453</v>
      </c>
      <c r="C136" s="325"/>
      <c r="D136" s="326"/>
      <c r="E136" s="326"/>
      <c r="F136" s="326"/>
    </row>
    <row r="137" spans="1:7" s="6" customFormat="1">
      <c r="B137" s="6" t="s">
        <v>1802</v>
      </c>
      <c r="C137" s="325" t="s">
        <v>18</v>
      </c>
      <c r="D137" s="326">
        <v>4</v>
      </c>
      <c r="E137" s="326"/>
      <c r="F137" s="326"/>
    </row>
    <row r="138" spans="1:7" s="6" customFormat="1" ht="30">
      <c r="B138" s="6" t="s">
        <v>1803</v>
      </c>
      <c r="C138" s="325" t="s">
        <v>18</v>
      </c>
      <c r="D138" s="326">
        <v>4</v>
      </c>
      <c r="E138" s="326"/>
      <c r="F138" s="326"/>
    </row>
    <row r="139" spans="1:7" s="6" customFormat="1" ht="30">
      <c r="B139" s="6" t="s">
        <v>1804</v>
      </c>
      <c r="C139" s="325" t="s">
        <v>18</v>
      </c>
      <c r="D139" s="326">
        <v>5</v>
      </c>
      <c r="E139" s="326"/>
      <c r="F139" s="326"/>
    </row>
    <row r="140" spans="1:7" s="6" customFormat="1" ht="30">
      <c r="B140" s="6" t="s">
        <v>1805</v>
      </c>
      <c r="C140" s="325" t="s">
        <v>18</v>
      </c>
      <c r="D140" s="326">
        <v>5</v>
      </c>
      <c r="E140" s="326"/>
      <c r="F140" s="326"/>
    </row>
    <row r="141" spans="1:7" s="6" customFormat="1" ht="30">
      <c r="B141" s="6" t="s">
        <v>1806</v>
      </c>
      <c r="C141" s="325" t="s">
        <v>18</v>
      </c>
      <c r="D141" s="326">
        <v>2</v>
      </c>
      <c r="E141" s="326"/>
      <c r="F141" s="326"/>
    </row>
    <row r="142" spans="1:7" s="6" customFormat="1">
      <c r="B142" s="6" t="s">
        <v>1807</v>
      </c>
      <c r="C142" s="325" t="s">
        <v>18</v>
      </c>
      <c r="D142" s="326">
        <v>4</v>
      </c>
      <c r="E142" s="326"/>
      <c r="F142" s="326"/>
    </row>
    <row r="143" spans="1:7" s="6" customFormat="1">
      <c r="B143" s="6" t="s">
        <v>1809</v>
      </c>
      <c r="C143" s="325" t="s">
        <v>18</v>
      </c>
      <c r="D143" s="326">
        <v>1</v>
      </c>
      <c r="E143" s="326"/>
      <c r="F143" s="326"/>
    </row>
    <row r="144" spans="1:7" s="6" customFormat="1">
      <c r="B144" s="6" t="s">
        <v>1830</v>
      </c>
      <c r="C144" s="325" t="s">
        <v>18</v>
      </c>
      <c r="D144" s="326">
        <v>1</v>
      </c>
      <c r="E144" s="326"/>
      <c r="F144" s="326"/>
    </row>
    <row r="145" spans="2:6" s="6" customFormat="1">
      <c r="B145" s="6" t="s">
        <v>1831</v>
      </c>
      <c r="C145" s="325" t="s">
        <v>18</v>
      </c>
      <c r="D145" s="326">
        <v>1</v>
      </c>
      <c r="E145" s="326"/>
      <c r="F145" s="326"/>
    </row>
    <row r="146" spans="2:6" s="6" customFormat="1" ht="30">
      <c r="B146" s="6" t="s">
        <v>1832</v>
      </c>
      <c r="C146" s="325" t="s">
        <v>18</v>
      </c>
      <c r="D146" s="326">
        <v>1</v>
      </c>
      <c r="E146" s="326"/>
      <c r="F146" s="326"/>
    </row>
    <row r="147" spans="2:6" s="6" customFormat="1" ht="30">
      <c r="B147" s="6" t="s">
        <v>1810</v>
      </c>
      <c r="C147" s="325" t="s">
        <v>1800</v>
      </c>
      <c r="D147" s="326">
        <v>13</v>
      </c>
      <c r="E147" s="326"/>
      <c r="F147" s="326"/>
    </row>
    <row r="148" spans="2:6" s="6" customFormat="1">
      <c r="B148" s="6" t="s">
        <v>1833</v>
      </c>
      <c r="C148" s="325" t="s">
        <v>18</v>
      </c>
      <c r="D148" s="326">
        <v>1</v>
      </c>
      <c r="E148" s="326"/>
      <c r="F148" s="326"/>
    </row>
    <row r="149" spans="2:6" s="6" customFormat="1">
      <c r="B149" s="6" t="s">
        <v>1834</v>
      </c>
      <c r="C149" s="325" t="s">
        <v>18</v>
      </c>
      <c r="D149" s="326">
        <v>1</v>
      </c>
      <c r="E149" s="326"/>
      <c r="F149" s="326"/>
    </row>
    <row r="150" spans="2:6" s="6" customFormat="1">
      <c r="B150" s="6" t="s">
        <v>1835</v>
      </c>
      <c r="C150" s="325" t="s">
        <v>18</v>
      </c>
      <c r="D150" s="326">
        <v>1</v>
      </c>
      <c r="E150" s="326"/>
      <c r="F150" s="326"/>
    </row>
    <row r="151" spans="2:6" s="6" customFormat="1">
      <c r="B151" s="6" t="s">
        <v>1836</v>
      </c>
      <c r="C151" s="325" t="s">
        <v>18</v>
      </c>
      <c r="D151" s="326">
        <v>1</v>
      </c>
      <c r="E151" s="326"/>
      <c r="F151" s="326"/>
    </row>
    <row r="152" spans="2:6" s="6" customFormat="1">
      <c r="B152" s="6" t="s">
        <v>1837</v>
      </c>
      <c r="C152" s="325" t="s">
        <v>18</v>
      </c>
      <c r="D152" s="326">
        <v>2</v>
      </c>
      <c r="E152" s="326"/>
      <c r="F152" s="326"/>
    </row>
    <row r="153" spans="2:6" s="6" customFormat="1" ht="30">
      <c r="B153" s="6" t="s">
        <v>1838</v>
      </c>
      <c r="C153" s="325" t="s">
        <v>18</v>
      </c>
      <c r="D153" s="326">
        <v>1</v>
      </c>
      <c r="E153" s="326"/>
      <c r="F153" s="326"/>
    </row>
    <row r="154" spans="2:6" s="6" customFormat="1">
      <c r="B154" s="6" t="s">
        <v>1839</v>
      </c>
      <c r="C154" s="325" t="s">
        <v>18</v>
      </c>
      <c r="D154" s="326">
        <v>1</v>
      </c>
      <c r="E154" s="326"/>
      <c r="F154" s="326"/>
    </row>
    <row r="155" spans="2:6" s="6" customFormat="1">
      <c r="B155" s="6" t="s">
        <v>1840</v>
      </c>
      <c r="C155" s="325" t="s">
        <v>18</v>
      </c>
      <c r="D155" s="326">
        <v>6</v>
      </c>
      <c r="E155" s="326"/>
      <c r="F155" s="326"/>
    </row>
    <row r="156" spans="2:6" s="6" customFormat="1">
      <c r="B156" s="6" t="s">
        <v>1808</v>
      </c>
      <c r="C156" s="325" t="s">
        <v>18</v>
      </c>
      <c r="D156" s="326">
        <v>3</v>
      </c>
      <c r="E156" s="326"/>
      <c r="F156" s="326"/>
    </row>
    <row r="157" spans="2:6" s="6" customFormat="1">
      <c r="B157" s="6" t="s">
        <v>1841</v>
      </c>
      <c r="C157" s="325" t="s">
        <v>18</v>
      </c>
      <c r="D157" s="326">
        <v>3</v>
      </c>
      <c r="E157" s="326"/>
      <c r="F157" s="326"/>
    </row>
    <row r="158" spans="2:6" s="6" customFormat="1" ht="30">
      <c r="B158" s="6" t="s">
        <v>1814</v>
      </c>
      <c r="C158" s="325" t="s">
        <v>1800</v>
      </c>
      <c r="D158" s="326">
        <v>10</v>
      </c>
      <c r="E158" s="326"/>
      <c r="F158" s="326"/>
    </row>
    <row r="159" spans="2:6" s="6" customFormat="1">
      <c r="B159" s="6" t="s">
        <v>1842</v>
      </c>
      <c r="C159" s="325" t="s">
        <v>1800</v>
      </c>
      <c r="D159" s="326">
        <v>3</v>
      </c>
      <c r="E159" s="326"/>
      <c r="F159" s="326"/>
    </row>
    <row r="160" spans="2:6" s="6" customFormat="1">
      <c r="B160" s="6" t="s">
        <v>1843</v>
      </c>
      <c r="C160" s="325" t="s">
        <v>1800</v>
      </c>
      <c r="D160" s="326">
        <v>3</v>
      </c>
      <c r="E160" s="326"/>
      <c r="F160" s="326"/>
    </row>
    <row r="161" spans="2:7" s="6" customFormat="1">
      <c r="B161" s="6" t="s">
        <v>1844</v>
      </c>
      <c r="C161" s="325" t="s">
        <v>1800</v>
      </c>
      <c r="D161" s="326">
        <v>3</v>
      </c>
      <c r="E161" s="326"/>
      <c r="F161" s="326"/>
    </row>
    <row r="162" spans="2:7" s="6" customFormat="1">
      <c r="B162" s="6" t="s">
        <v>1815</v>
      </c>
      <c r="C162" s="325" t="s">
        <v>1800</v>
      </c>
      <c r="D162" s="326">
        <v>9</v>
      </c>
      <c r="E162" s="326"/>
      <c r="F162" s="326"/>
    </row>
    <row r="163" spans="2:7" s="6" customFormat="1">
      <c r="B163" s="6" t="s">
        <v>1845</v>
      </c>
      <c r="C163" s="325" t="s">
        <v>1800</v>
      </c>
      <c r="D163" s="326">
        <v>3</v>
      </c>
      <c r="E163" s="326"/>
      <c r="F163" s="326"/>
    </row>
    <row r="164" spans="2:7" s="6" customFormat="1">
      <c r="B164" s="6" t="s">
        <v>1846</v>
      </c>
      <c r="C164" s="325" t="s">
        <v>1800</v>
      </c>
      <c r="D164" s="326">
        <v>3</v>
      </c>
      <c r="E164" s="326"/>
      <c r="F164" s="326"/>
    </row>
    <row r="165" spans="2:7" s="6" customFormat="1">
      <c r="B165" s="6" t="s">
        <v>1847</v>
      </c>
      <c r="C165" s="325" t="s">
        <v>1800</v>
      </c>
      <c r="D165" s="326">
        <v>3</v>
      </c>
      <c r="E165" s="326"/>
      <c r="F165" s="326"/>
    </row>
    <row r="166" spans="2:7" s="6" customFormat="1">
      <c r="B166" s="6" t="s">
        <v>1848</v>
      </c>
      <c r="C166" s="325" t="s">
        <v>1800</v>
      </c>
      <c r="D166" s="326">
        <v>3</v>
      </c>
      <c r="E166" s="326"/>
      <c r="F166" s="326"/>
      <c r="G166" s="327"/>
    </row>
    <row r="167" spans="2:7" s="6" customFormat="1" ht="30">
      <c r="B167" s="6" t="s">
        <v>1849</v>
      </c>
      <c r="C167" s="325" t="s">
        <v>1800</v>
      </c>
      <c r="D167" s="326">
        <v>2</v>
      </c>
      <c r="E167" s="326"/>
      <c r="F167" s="326"/>
    </row>
    <row r="168" spans="2:7" s="6" customFormat="1">
      <c r="B168" s="6" t="s">
        <v>1815</v>
      </c>
      <c r="C168" s="325" t="s">
        <v>1800</v>
      </c>
      <c r="D168" s="326">
        <v>3</v>
      </c>
      <c r="E168" s="326"/>
      <c r="F168" s="326"/>
    </row>
    <row r="169" spans="2:7" s="6" customFormat="1">
      <c r="B169" s="6" t="s">
        <v>1850</v>
      </c>
      <c r="C169" s="325" t="s">
        <v>1800</v>
      </c>
      <c r="D169" s="326">
        <v>3</v>
      </c>
      <c r="E169" s="326"/>
      <c r="F169" s="326"/>
    </row>
    <row r="170" spans="2:7" s="6" customFormat="1" ht="30">
      <c r="B170" s="6" t="s">
        <v>1851</v>
      </c>
      <c r="C170" s="325" t="s">
        <v>1800</v>
      </c>
      <c r="D170" s="326">
        <v>3</v>
      </c>
      <c r="E170" s="326"/>
      <c r="F170" s="326"/>
    </row>
    <row r="171" spans="2:7" s="6" customFormat="1" ht="195">
      <c r="B171" s="6" t="s">
        <v>1852</v>
      </c>
      <c r="C171" s="325" t="s">
        <v>18</v>
      </c>
      <c r="D171" s="326">
        <v>3</v>
      </c>
      <c r="E171" s="326"/>
      <c r="F171" s="326"/>
    </row>
    <row r="172" spans="2:7" s="6" customFormat="1" ht="30">
      <c r="B172" s="6" t="s">
        <v>1853</v>
      </c>
      <c r="C172" s="325" t="s">
        <v>1800</v>
      </c>
      <c r="D172" s="326">
        <v>2</v>
      </c>
      <c r="E172" s="326"/>
      <c r="F172" s="326"/>
    </row>
    <row r="173" spans="2:7" s="6" customFormat="1" ht="30">
      <c r="B173" s="6" t="s">
        <v>1854</v>
      </c>
      <c r="C173" s="325" t="s">
        <v>1800</v>
      </c>
      <c r="D173" s="326">
        <v>1</v>
      </c>
      <c r="E173" s="326"/>
      <c r="F173" s="326"/>
    </row>
    <row r="174" spans="2:7" s="6" customFormat="1" ht="30">
      <c r="B174" s="6" t="s">
        <v>1855</v>
      </c>
      <c r="C174" s="325" t="s">
        <v>1800</v>
      </c>
      <c r="D174" s="326">
        <v>1</v>
      </c>
      <c r="E174" s="326"/>
      <c r="F174" s="326"/>
    </row>
    <row r="175" spans="2:7" s="6" customFormat="1" ht="30">
      <c r="B175" s="6" t="s">
        <v>1856</v>
      </c>
      <c r="C175" s="325" t="s">
        <v>1800</v>
      </c>
      <c r="D175" s="326">
        <v>2</v>
      </c>
      <c r="E175" s="326"/>
      <c r="F175" s="326"/>
    </row>
    <row r="176" spans="2:7" s="6" customFormat="1">
      <c r="B176" s="6" t="s">
        <v>1857</v>
      </c>
      <c r="C176" s="325" t="s">
        <v>1800</v>
      </c>
      <c r="D176" s="326">
        <v>4</v>
      </c>
      <c r="E176" s="326"/>
      <c r="F176" s="326"/>
    </row>
    <row r="177" spans="2:6" s="6" customFormat="1">
      <c r="B177" s="6" t="s">
        <v>1858</v>
      </c>
      <c r="C177" s="325" t="s">
        <v>1800</v>
      </c>
      <c r="D177" s="326">
        <v>1</v>
      </c>
      <c r="E177" s="326"/>
      <c r="F177" s="326"/>
    </row>
    <row r="178" spans="2:6" s="6" customFormat="1">
      <c r="B178" s="6" t="s">
        <v>1859</v>
      </c>
      <c r="C178" s="325" t="s">
        <v>1800</v>
      </c>
      <c r="D178" s="326">
        <v>2</v>
      </c>
      <c r="E178" s="326"/>
      <c r="F178" s="326"/>
    </row>
    <row r="179" spans="2:6" s="6" customFormat="1">
      <c r="B179" s="6" t="s">
        <v>1860</v>
      </c>
      <c r="C179" s="325" t="s">
        <v>1800</v>
      </c>
      <c r="D179" s="326">
        <v>8</v>
      </c>
      <c r="E179" s="326"/>
      <c r="F179" s="326"/>
    </row>
    <row r="180" spans="2:6" s="6" customFormat="1" ht="30">
      <c r="B180" s="6" t="s">
        <v>1861</v>
      </c>
      <c r="C180" s="325" t="s">
        <v>18</v>
      </c>
      <c r="D180" s="326">
        <v>1</v>
      </c>
      <c r="E180" s="326"/>
      <c r="F180" s="326"/>
    </row>
    <row r="181" spans="2:6" s="6" customFormat="1" ht="30">
      <c r="B181" s="6" t="s">
        <v>1862</v>
      </c>
      <c r="C181" s="325" t="s">
        <v>1800</v>
      </c>
      <c r="D181" s="326">
        <v>8</v>
      </c>
      <c r="E181" s="326"/>
      <c r="F181" s="326"/>
    </row>
    <row r="182" spans="2:6" s="6" customFormat="1" ht="30">
      <c r="B182" s="6" t="s">
        <v>1863</v>
      </c>
      <c r="C182" s="325" t="s">
        <v>1800</v>
      </c>
      <c r="D182" s="326">
        <v>1</v>
      </c>
      <c r="E182" s="326"/>
      <c r="F182" s="326"/>
    </row>
    <row r="183" spans="2:6" s="6" customFormat="1">
      <c r="B183" s="6" t="s">
        <v>1864</v>
      </c>
      <c r="C183" s="325" t="s">
        <v>1800</v>
      </c>
      <c r="D183" s="326">
        <v>3</v>
      </c>
      <c r="E183" s="326"/>
      <c r="F183" s="326"/>
    </row>
    <row r="184" spans="2:6" s="6" customFormat="1" ht="30">
      <c r="B184" s="6" t="s">
        <v>1865</v>
      </c>
      <c r="C184" s="325" t="s">
        <v>1800</v>
      </c>
      <c r="D184" s="326">
        <v>14</v>
      </c>
      <c r="E184" s="326"/>
      <c r="F184" s="326"/>
    </row>
    <row r="185" spans="2:6" s="6" customFormat="1" ht="30">
      <c r="B185" s="6" t="s">
        <v>1811</v>
      </c>
      <c r="C185" s="325" t="s">
        <v>1800</v>
      </c>
      <c r="D185" s="326">
        <v>18</v>
      </c>
      <c r="E185" s="326"/>
      <c r="F185" s="326"/>
    </row>
    <row r="186" spans="2:6" s="6" customFormat="1" ht="30">
      <c r="B186" s="6" t="s">
        <v>1866</v>
      </c>
      <c r="C186" s="325" t="s">
        <v>1800</v>
      </c>
      <c r="D186" s="326">
        <v>1</v>
      </c>
      <c r="E186" s="326"/>
      <c r="F186" s="326"/>
    </row>
    <row r="187" spans="2:6" s="6" customFormat="1" ht="30">
      <c r="B187" s="6" t="s">
        <v>1867</v>
      </c>
      <c r="C187" s="325" t="s">
        <v>1800</v>
      </c>
      <c r="D187" s="326">
        <v>25</v>
      </c>
      <c r="E187" s="326"/>
      <c r="F187" s="326"/>
    </row>
    <row r="188" spans="2:6" s="6" customFormat="1" ht="30">
      <c r="B188" s="6" t="s">
        <v>1868</v>
      </c>
      <c r="C188" s="325" t="s">
        <v>1800</v>
      </c>
      <c r="D188" s="326">
        <v>1</v>
      </c>
      <c r="E188" s="326"/>
      <c r="F188" s="326"/>
    </row>
    <row r="189" spans="2:6" s="6" customFormat="1" ht="30">
      <c r="B189" s="6" t="s">
        <v>1856</v>
      </c>
      <c r="C189" s="325" t="s">
        <v>1800</v>
      </c>
      <c r="D189" s="326">
        <v>1</v>
      </c>
      <c r="E189" s="326"/>
      <c r="F189" s="326"/>
    </row>
    <row r="190" spans="2:6" s="6" customFormat="1">
      <c r="B190" s="6" t="s">
        <v>1869</v>
      </c>
      <c r="C190" s="325" t="s">
        <v>18</v>
      </c>
      <c r="D190" s="326">
        <v>1</v>
      </c>
      <c r="E190" s="326"/>
      <c r="F190" s="326"/>
    </row>
    <row r="191" spans="2:6" s="6" customFormat="1">
      <c r="B191" s="6" t="s">
        <v>1870</v>
      </c>
      <c r="C191" s="325" t="s">
        <v>18</v>
      </c>
      <c r="D191" s="326">
        <v>1</v>
      </c>
      <c r="E191" s="326"/>
      <c r="F191" s="326"/>
    </row>
    <row r="192" spans="2:6" s="6" customFormat="1" ht="30">
      <c r="B192" s="6" t="s">
        <v>1871</v>
      </c>
      <c r="C192" s="325" t="s">
        <v>1800</v>
      </c>
      <c r="D192" s="326">
        <v>2</v>
      </c>
      <c r="E192" s="326"/>
      <c r="F192" s="326"/>
    </row>
    <row r="193" spans="2:6" s="6" customFormat="1" ht="30">
      <c r="B193" s="6" t="s">
        <v>1872</v>
      </c>
      <c r="C193" s="325" t="s">
        <v>18</v>
      </c>
      <c r="D193" s="326">
        <v>1</v>
      </c>
      <c r="E193" s="326"/>
      <c r="F193" s="326"/>
    </row>
    <row r="194" spans="2:6" s="6" customFormat="1" ht="30">
      <c r="B194" s="6" t="s">
        <v>1873</v>
      </c>
      <c r="C194" s="325" t="s">
        <v>18</v>
      </c>
      <c r="D194" s="326">
        <v>2</v>
      </c>
      <c r="E194" s="326"/>
      <c r="F194" s="326"/>
    </row>
    <row r="195" spans="2:6" s="6" customFormat="1" ht="30">
      <c r="B195" s="6" t="s">
        <v>1832</v>
      </c>
      <c r="C195" s="325" t="s">
        <v>18</v>
      </c>
      <c r="D195" s="326">
        <v>12</v>
      </c>
      <c r="E195" s="326"/>
      <c r="F195" s="326"/>
    </row>
    <row r="196" spans="2:6" s="6" customFormat="1" ht="30">
      <c r="B196" s="6" t="s">
        <v>1874</v>
      </c>
      <c r="C196" s="325" t="s">
        <v>18</v>
      </c>
      <c r="D196" s="326">
        <v>10</v>
      </c>
      <c r="E196" s="326"/>
      <c r="F196" s="326"/>
    </row>
    <row r="197" spans="2:6" s="6" customFormat="1" ht="30">
      <c r="B197" s="6" t="s">
        <v>1851</v>
      </c>
      <c r="C197" s="325" t="s">
        <v>18</v>
      </c>
      <c r="D197" s="326">
        <v>10</v>
      </c>
      <c r="E197" s="326"/>
      <c r="F197" s="326"/>
    </row>
    <row r="198" spans="2:6" s="6" customFormat="1" ht="30">
      <c r="B198" s="6" t="s">
        <v>1875</v>
      </c>
      <c r="C198" s="325" t="s">
        <v>18</v>
      </c>
      <c r="D198" s="326">
        <v>6</v>
      </c>
      <c r="E198" s="326"/>
      <c r="F198" s="326"/>
    </row>
    <row r="199" spans="2:6" s="6" customFormat="1" ht="30">
      <c r="B199" s="6" t="s">
        <v>1876</v>
      </c>
      <c r="C199" s="325" t="s">
        <v>18</v>
      </c>
      <c r="D199" s="326">
        <v>6</v>
      </c>
      <c r="E199" s="326"/>
      <c r="F199" s="326"/>
    </row>
    <row r="200" spans="2:6" s="6" customFormat="1">
      <c r="B200" s="6" t="s">
        <v>1877</v>
      </c>
      <c r="C200" s="325" t="s">
        <v>18</v>
      </c>
      <c r="D200" s="326">
        <v>10</v>
      </c>
      <c r="E200" s="326"/>
      <c r="F200" s="326"/>
    </row>
    <row r="201" spans="2:6" s="6" customFormat="1">
      <c r="B201" s="6" t="s">
        <v>1878</v>
      </c>
      <c r="C201" s="325" t="s">
        <v>18</v>
      </c>
      <c r="D201" s="326">
        <v>1</v>
      </c>
      <c r="E201" s="326"/>
      <c r="F201" s="326"/>
    </row>
    <row r="202" spans="2:6" s="6" customFormat="1" ht="30">
      <c r="B202" s="6" t="s">
        <v>1879</v>
      </c>
      <c r="C202" s="325" t="s">
        <v>1800</v>
      </c>
      <c r="D202" s="326">
        <v>1</v>
      </c>
      <c r="E202" s="326"/>
      <c r="F202" s="326"/>
    </row>
    <row r="203" spans="2:6" s="6" customFormat="1" ht="30">
      <c r="B203" s="6" t="s">
        <v>1880</v>
      </c>
      <c r="C203" s="325" t="s">
        <v>1800</v>
      </c>
      <c r="D203" s="326">
        <v>10</v>
      </c>
      <c r="E203" s="326"/>
      <c r="F203" s="326"/>
    </row>
    <row r="204" spans="2:6" s="6" customFormat="1">
      <c r="B204" s="6" t="s">
        <v>1881</v>
      </c>
      <c r="C204" s="325" t="s">
        <v>18</v>
      </c>
      <c r="D204" s="326">
        <v>1</v>
      </c>
      <c r="E204" s="326"/>
      <c r="F204" s="326"/>
    </row>
    <row r="205" spans="2:6" s="6" customFormat="1">
      <c r="B205" s="6" t="s">
        <v>1870</v>
      </c>
      <c r="C205" s="325" t="s">
        <v>18</v>
      </c>
      <c r="D205" s="326">
        <v>1</v>
      </c>
      <c r="E205" s="326"/>
      <c r="F205" s="326"/>
    </row>
    <row r="206" spans="2:6" s="6" customFormat="1">
      <c r="B206" s="6" t="s">
        <v>1839</v>
      </c>
      <c r="C206" s="325" t="s">
        <v>18</v>
      </c>
      <c r="D206" s="326">
        <v>1</v>
      </c>
      <c r="E206" s="326"/>
      <c r="F206" s="326"/>
    </row>
    <row r="207" spans="2:6" s="6" customFormat="1" ht="30">
      <c r="B207" s="6" t="s">
        <v>1882</v>
      </c>
      <c r="C207" s="325" t="s">
        <v>18</v>
      </c>
      <c r="D207" s="326">
        <v>2</v>
      </c>
      <c r="E207" s="326"/>
      <c r="F207" s="326"/>
    </row>
    <row r="208" spans="2:6" s="6" customFormat="1" ht="30">
      <c r="B208" s="6" t="s">
        <v>1883</v>
      </c>
      <c r="C208" s="325" t="s">
        <v>18</v>
      </c>
      <c r="D208" s="326">
        <v>1</v>
      </c>
      <c r="E208" s="326"/>
      <c r="F208" s="326"/>
    </row>
    <row r="209" spans="1:7" s="6" customFormat="1">
      <c r="B209" s="6" t="s">
        <v>1884</v>
      </c>
      <c r="C209" s="325" t="s">
        <v>1885</v>
      </c>
      <c r="D209" s="326">
        <v>2</v>
      </c>
      <c r="E209" s="326"/>
      <c r="F209" s="326"/>
    </row>
    <row r="210" spans="1:7" s="6" customFormat="1">
      <c r="B210" s="6" t="s">
        <v>1886</v>
      </c>
      <c r="C210" s="325" t="s">
        <v>1885</v>
      </c>
      <c r="D210" s="326">
        <v>1</v>
      </c>
      <c r="E210" s="326"/>
      <c r="F210" s="326"/>
    </row>
    <row r="211" spans="1:7" s="6" customFormat="1" ht="30">
      <c r="B211" s="6" t="s">
        <v>1887</v>
      </c>
      <c r="C211" s="325" t="s">
        <v>1885</v>
      </c>
      <c r="D211" s="326">
        <v>3</v>
      </c>
      <c r="E211" s="326"/>
      <c r="F211" s="326"/>
    </row>
    <row r="212" spans="1:7" s="6" customFormat="1" ht="30">
      <c r="B212" s="6" t="s">
        <v>1888</v>
      </c>
      <c r="C212" s="325" t="s">
        <v>1885</v>
      </c>
      <c r="D212" s="326">
        <v>3</v>
      </c>
      <c r="E212" s="326"/>
      <c r="F212" s="326"/>
    </row>
    <row r="213" spans="1:7" s="6" customFormat="1" ht="30">
      <c r="B213" s="6" t="s">
        <v>1889</v>
      </c>
      <c r="C213" s="325" t="s">
        <v>1885</v>
      </c>
      <c r="D213" s="326">
        <v>2</v>
      </c>
      <c r="E213" s="326"/>
      <c r="F213" s="326"/>
    </row>
    <row r="214" spans="1:7" s="6" customFormat="1">
      <c r="B214" s="6" t="s">
        <v>1890</v>
      </c>
      <c r="C214" s="325" t="s">
        <v>1885</v>
      </c>
      <c r="D214" s="326">
        <v>2</v>
      </c>
      <c r="E214" s="326"/>
      <c r="F214" s="326"/>
    </row>
    <row r="215" spans="1:7" s="6" customFormat="1">
      <c r="B215" s="6" t="s">
        <v>1824</v>
      </c>
      <c r="C215" s="325" t="s">
        <v>18</v>
      </c>
      <c r="D215" s="326">
        <v>1</v>
      </c>
      <c r="E215" s="326"/>
      <c r="F215" s="326"/>
    </row>
    <row r="216" spans="1:7" s="6" customFormat="1" ht="30">
      <c r="B216" s="6" t="s">
        <v>1891</v>
      </c>
      <c r="C216" s="325" t="s">
        <v>1823</v>
      </c>
      <c r="D216" s="326">
        <v>1</v>
      </c>
      <c r="E216" s="326"/>
      <c r="F216" s="326"/>
      <c r="G216" s="327"/>
    </row>
    <row r="217" spans="1:7" s="6" customFormat="1" ht="30">
      <c r="B217" s="6" t="s">
        <v>1892</v>
      </c>
      <c r="C217" s="325" t="s">
        <v>1823</v>
      </c>
      <c r="D217" s="326">
        <v>1</v>
      </c>
      <c r="E217" s="326"/>
      <c r="F217" s="326"/>
    </row>
    <row r="218" spans="1:7" s="6" customFormat="1">
      <c r="B218" s="6" t="s">
        <v>1826</v>
      </c>
      <c r="C218" s="325" t="s">
        <v>1823</v>
      </c>
      <c r="D218" s="326">
        <v>1</v>
      </c>
      <c r="E218" s="326"/>
      <c r="F218" s="326"/>
    </row>
    <row r="219" spans="1:7" s="6" customFormat="1">
      <c r="C219" s="325"/>
      <c r="D219" s="326"/>
      <c r="E219" s="326"/>
      <c r="F219" s="326"/>
    </row>
    <row r="220" spans="1:7" s="6" customFormat="1">
      <c r="C220" s="325"/>
      <c r="D220" s="326"/>
      <c r="E220" s="326"/>
      <c r="F220" s="326"/>
    </row>
    <row r="221" spans="1:7" s="6" customFormat="1" ht="60">
      <c r="A221" s="6" t="s">
        <v>294</v>
      </c>
      <c r="B221" s="6" t="s">
        <v>2454</v>
      </c>
      <c r="C221" s="325"/>
      <c r="D221" s="326"/>
      <c r="E221" s="326"/>
      <c r="F221" s="326"/>
    </row>
    <row r="222" spans="1:7" s="6" customFormat="1">
      <c r="B222" s="6" t="s">
        <v>1893</v>
      </c>
      <c r="C222" s="325" t="s">
        <v>1800</v>
      </c>
      <c r="D222" s="326">
        <v>1</v>
      </c>
      <c r="E222" s="326"/>
      <c r="F222" s="326"/>
    </row>
    <row r="223" spans="1:7" s="6" customFormat="1" ht="30">
      <c r="B223" s="6" t="s">
        <v>1894</v>
      </c>
      <c r="C223" s="325" t="s">
        <v>1800</v>
      </c>
      <c r="D223" s="326">
        <v>2</v>
      </c>
      <c r="E223" s="326"/>
      <c r="F223" s="326"/>
    </row>
    <row r="224" spans="1:7" s="6" customFormat="1">
      <c r="B224" s="6" t="s">
        <v>1895</v>
      </c>
      <c r="C224" s="325" t="s">
        <v>1800</v>
      </c>
      <c r="D224" s="326">
        <v>3</v>
      </c>
      <c r="E224" s="326"/>
      <c r="F224" s="326"/>
    </row>
    <row r="225" spans="2:6" s="6" customFormat="1">
      <c r="B225" s="6" t="s">
        <v>1896</v>
      </c>
      <c r="C225" s="325" t="s">
        <v>1800</v>
      </c>
      <c r="D225" s="326">
        <v>3</v>
      </c>
      <c r="E225" s="326"/>
      <c r="F225" s="326"/>
    </row>
    <row r="226" spans="2:6" s="6" customFormat="1" ht="30">
      <c r="B226" s="6" t="s">
        <v>1851</v>
      </c>
      <c r="C226" s="325" t="s">
        <v>1800</v>
      </c>
      <c r="D226" s="326">
        <v>3</v>
      </c>
      <c r="E226" s="326"/>
      <c r="F226" s="326"/>
    </row>
    <row r="227" spans="2:6" s="6" customFormat="1" ht="195">
      <c r="B227" s="6" t="s">
        <v>1852</v>
      </c>
      <c r="C227" s="325" t="s">
        <v>18</v>
      </c>
      <c r="D227" s="326">
        <v>1</v>
      </c>
      <c r="E227" s="326"/>
      <c r="F227" s="326"/>
    </row>
    <row r="228" spans="2:6" s="6" customFormat="1">
      <c r="B228" s="6" t="s">
        <v>1808</v>
      </c>
      <c r="C228" s="325" t="s">
        <v>18</v>
      </c>
      <c r="D228" s="326">
        <v>3</v>
      </c>
      <c r="E228" s="326"/>
      <c r="F228" s="326"/>
    </row>
    <row r="229" spans="2:6" s="6" customFormat="1" ht="30">
      <c r="B229" s="6" t="s">
        <v>1832</v>
      </c>
      <c r="C229" s="325" t="s">
        <v>18</v>
      </c>
      <c r="D229" s="326">
        <v>1</v>
      </c>
      <c r="E229" s="326"/>
      <c r="F229" s="326"/>
    </row>
    <row r="230" spans="2:6" s="6" customFormat="1" ht="30">
      <c r="B230" s="6" t="s">
        <v>1810</v>
      </c>
      <c r="C230" s="325" t="s">
        <v>1800</v>
      </c>
      <c r="D230" s="326">
        <v>3</v>
      </c>
      <c r="E230" s="326"/>
      <c r="F230" s="326"/>
    </row>
    <row r="231" spans="2:6" s="6" customFormat="1">
      <c r="B231" s="6" t="s">
        <v>1837</v>
      </c>
      <c r="C231" s="325" t="s">
        <v>18</v>
      </c>
      <c r="D231" s="326">
        <v>2</v>
      </c>
      <c r="E231" s="326"/>
      <c r="F231" s="326"/>
    </row>
    <row r="232" spans="2:6" s="6" customFormat="1">
      <c r="B232" s="6" t="s">
        <v>1897</v>
      </c>
      <c r="C232" s="325" t="s">
        <v>1800</v>
      </c>
      <c r="D232" s="326">
        <v>3</v>
      </c>
      <c r="E232" s="326"/>
      <c r="F232" s="326"/>
    </row>
    <row r="233" spans="2:6" s="6" customFormat="1" ht="30">
      <c r="B233" s="6" t="s">
        <v>1898</v>
      </c>
      <c r="C233" s="325" t="s">
        <v>1800</v>
      </c>
      <c r="D233" s="326">
        <v>3</v>
      </c>
      <c r="E233" s="326"/>
      <c r="F233" s="326"/>
    </row>
    <row r="234" spans="2:6" s="6" customFormat="1" ht="30">
      <c r="B234" s="6" t="s">
        <v>1863</v>
      </c>
      <c r="C234" s="325" t="s">
        <v>1800</v>
      </c>
      <c r="D234" s="326">
        <v>4</v>
      </c>
      <c r="E234" s="326"/>
      <c r="F234" s="326"/>
    </row>
    <row r="235" spans="2:6" s="6" customFormat="1">
      <c r="B235" s="6" t="s">
        <v>1864</v>
      </c>
      <c r="C235" s="325" t="s">
        <v>1800</v>
      </c>
      <c r="D235" s="326">
        <v>12</v>
      </c>
      <c r="E235" s="326"/>
      <c r="F235" s="326"/>
    </row>
    <row r="236" spans="2:6" s="6" customFormat="1" ht="30">
      <c r="B236" s="6" t="s">
        <v>1861</v>
      </c>
      <c r="C236" s="325" t="s">
        <v>18</v>
      </c>
      <c r="D236" s="326">
        <v>3</v>
      </c>
      <c r="E236" s="326"/>
      <c r="F236" s="326"/>
    </row>
    <row r="237" spans="2:6" s="6" customFormat="1" ht="30">
      <c r="B237" s="6" t="s">
        <v>1862</v>
      </c>
      <c r="C237" s="325" t="s">
        <v>1800</v>
      </c>
      <c r="D237" s="326">
        <v>2</v>
      </c>
      <c r="E237" s="326"/>
      <c r="F237" s="326"/>
    </row>
    <row r="238" spans="2:6" s="6" customFormat="1">
      <c r="B238" s="6" t="s">
        <v>1859</v>
      </c>
      <c r="C238" s="325" t="s">
        <v>1800</v>
      </c>
      <c r="D238" s="326">
        <v>6</v>
      </c>
      <c r="E238" s="326"/>
      <c r="F238" s="326"/>
    </row>
    <row r="239" spans="2:6" s="6" customFormat="1">
      <c r="B239" s="6" t="s">
        <v>1860</v>
      </c>
      <c r="C239" s="325" t="s">
        <v>1800</v>
      </c>
      <c r="D239" s="326">
        <v>2</v>
      </c>
      <c r="E239" s="326"/>
      <c r="F239" s="326"/>
    </row>
    <row r="240" spans="2:6" s="6" customFormat="1" ht="30">
      <c r="B240" s="6" t="s">
        <v>1865</v>
      </c>
      <c r="C240" s="325" t="s">
        <v>1800</v>
      </c>
      <c r="D240" s="326">
        <v>18</v>
      </c>
      <c r="E240" s="326"/>
      <c r="F240" s="326"/>
    </row>
    <row r="241" spans="2:6" s="6" customFormat="1" ht="30">
      <c r="B241" s="6" t="s">
        <v>1811</v>
      </c>
      <c r="C241" s="325" t="s">
        <v>1800</v>
      </c>
      <c r="D241" s="326">
        <v>15</v>
      </c>
      <c r="E241" s="326"/>
      <c r="F241" s="326"/>
    </row>
    <row r="242" spans="2:6" s="6" customFormat="1" ht="30">
      <c r="B242" s="6" t="s">
        <v>1866</v>
      </c>
      <c r="C242" s="325" t="s">
        <v>1800</v>
      </c>
      <c r="D242" s="326">
        <v>1</v>
      </c>
      <c r="E242" s="326"/>
      <c r="F242" s="326"/>
    </row>
    <row r="243" spans="2:6" s="6" customFormat="1" ht="30">
      <c r="B243" s="6" t="s">
        <v>1867</v>
      </c>
      <c r="C243" s="325" t="s">
        <v>1800</v>
      </c>
      <c r="D243" s="326">
        <v>35</v>
      </c>
      <c r="E243" s="326"/>
      <c r="F243" s="326"/>
    </row>
    <row r="244" spans="2:6" s="6" customFormat="1" ht="30">
      <c r="B244" s="6" t="s">
        <v>1899</v>
      </c>
      <c r="C244" s="325" t="s">
        <v>1800</v>
      </c>
      <c r="D244" s="326">
        <v>1</v>
      </c>
      <c r="E244" s="326"/>
      <c r="F244" s="326"/>
    </row>
    <row r="245" spans="2:6" s="6" customFormat="1" ht="30">
      <c r="B245" s="6" t="s">
        <v>1900</v>
      </c>
      <c r="C245" s="325" t="s">
        <v>1800</v>
      </c>
      <c r="D245" s="326">
        <v>2</v>
      </c>
      <c r="E245" s="326"/>
      <c r="F245" s="326"/>
    </row>
    <row r="246" spans="2:6" s="6" customFormat="1" ht="30">
      <c r="B246" s="6" t="s">
        <v>1871</v>
      </c>
      <c r="C246" s="325" t="s">
        <v>1800</v>
      </c>
      <c r="D246" s="326">
        <v>1</v>
      </c>
      <c r="E246" s="326"/>
      <c r="F246" s="326"/>
    </row>
    <row r="247" spans="2:6" s="6" customFormat="1">
      <c r="B247" s="6" t="s">
        <v>1901</v>
      </c>
      <c r="C247" s="325" t="s">
        <v>18</v>
      </c>
      <c r="D247" s="326">
        <v>2</v>
      </c>
      <c r="E247" s="326"/>
      <c r="F247" s="326"/>
    </row>
    <row r="248" spans="2:6" s="6" customFormat="1">
      <c r="B248" s="6" t="s">
        <v>1902</v>
      </c>
      <c r="C248" s="325" t="s">
        <v>18</v>
      </c>
      <c r="D248" s="326">
        <v>2</v>
      </c>
      <c r="E248" s="326"/>
      <c r="F248" s="326"/>
    </row>
    <row r="249" spans="2:6" s="6" customFormat="1">
      <c r="B249" s="6" t="s">
        <v>1903</v>
      </c>
      <c r="C249" s="325" t="s">
        <v>18</v>
      </c>
      <c r="D249" s="326">
        <v>2</v>
      </c>
      <c r="E249" s="326"/>
      <c r="F249" s="326"/>
    </row>
    <row r="250" spans="2:6" s="6" customFormat="1">
      <c r="B250" s="6" t="s">
        <v>1869</v>
      </c>
      <c r="C250" s="325" t="s">
        <v>18</v>
      </c>
      <c r="D250" s="326">
        <v>2</v>
      </c>
      <c r="E250" s="326"/>
      <c r="F250" s="326"/>
    </row>
    <row r="251" spans="2:6" s="6" customFormat="1" ht="30">
      <c r="B251" s="6" t="s">
        <v>1874</v>
      </c>
      <c r="C251" s="325" t="s">
        <v>18</v>
      </c>
      <c r="D251" s="326">
        <v>2</v>
      </c>
      <c r="E251" s="326"/>
      <c r="F251" s="326"/>
    </row>
    <row r="252" spans="2:6" s="6" customFormat="1" ht="30">
      <c r="B252" s="6" t="s">
        <v>1851</v>
      </c>
      <c r="C252" s="325" t="s">
        <v>18</v>
      </c>
      <c r="D252" s="326">
        <v>2</v>
      </c>
      <c r="E252" s="326"/>
      <c r="F252" s="326"/>
    </row>
    <row r="253" spans="2:6" s="6" customFormat="1" ht="30">
      <c r="B253" s="6" t="s">
        <v>1875</v>
      </c>
      <c r="C253" s="325" t="s">
        <v>18</v>
      </c>
      <c r="D253" s="326">
        <v>2</v>
      </c>
      <c r="E253" s="326"/>
      <c r="F253" s="326"/>
    </row>
    <row r="254" spans="2:6" s="6" customFormat="1" ht="30">
      <c r="B254" s="6" t="s">
        <v>1876</v>
      </c>
      <c r="C254" s="325" t="s">
        <v>18</v>
      </c>
      <c r="D254" s="326">
        <v>2</v>
      </c>
      <c r="E254" s="326"/>
      <c r="F254" s="326"/>
    </row>
    <row r="255" spans="2:6" s="6" customFormat="1">
      <c r="B255" s="6" t="s">
        <v>1877</v>
      </c>
      <c r="C255" s="325" t="s">
        <v>18</v>
      </c>
      <c r="D255" s="326">
        <v>2</v>
      </c>
      <c r="E255" s="326"/>
      <c r="F255" s="326"/>
    </row>
    <row r="256" spans="2:6" s="6" customFormat="1">
      <c r="B256" s="6" t="s">
        <v>1878</v>
      </c>
      <c r="C256" s="325" t="s">
        <v>18</v>
      </c>
      <c r="D256" s="326">
        <v>1</v>
      </c>
      <c r="E256" s="326"/>
      <c r="F256" s="326"/>
    </row>
    <row r="257" spans="1:7" s="6" customFormat="1" ht="30">
      <c r="B257" s="6" t="s">
        <v>1879</v>
      </c>
      <c r="C257" s="325" t="s">
        <v>1800</v>
      </c>
      <c r="D257" s="326">
        <v>1</v>
      </c>
      <c r="E257" s="326"/>
      <c r="F257" s="326"/>
    </row>
    <row r="258" spans="1:7" s="6" customFormat="1" ht="30">
      <c r="B258" s="6" t="s">
        <v>1880</v>
      </c>
      <c r="C258" s="325" t="s">
        <v>1800</v>
      </c>
      <c r="D258" s="326">
        <v>1</v>
      </c>
      <c r="E258" s="326"/>
      <c r="F258" s="326"/>
    </row>
    <row r="259" spans="1:7" s="6" customFormat="1">
      <c r="B259" s="6" t="s">
        <v>1869</v>
      </c>
      <c r="C259" s="325" t="s">
        <v>18</v>
      </c>
      <c r="D259" s="326">
        <v>1</v>
      </c>
      <c r="E259" s="326"/>
      <c r="F259" s="326"/>
    </row>
    <row r="260" spans="1:7" s="6" customFormat="1" ht="45">
      <c r="B260" s="6" t="s">
        <v>1904</v>
      </c>
      <c r="C260" s="325" t="s">
        <v>1800</v>
      </c>
      <c r="D260" s="326">
        <v>1</v>
      </c>
      <c r="E260" s="326"/>
      <c r="F260" s="326"/>
    </row>
    <row r="261" spans="1:7" s="6" customFormat="1" ht="30">
      <c r="B261" s="6" t="s">
        <v>1905</v>
      </c>
      <c r="C261" s="325" t="s">
        <v>1800</v>
      </c>
      <c r="D261" s="326">
        <v>2</v>
      </c>
      <c r="E261" s="326"/>
      <c r="F261" s="326"/>
    </row>
    <row r="262" spans="1:7" s="6" customFormat="1">
      <c r="B262" s="6" t="s">
        <v>1906</v>
      </c>
      <c r="C262" s="325" t="s">
        <v>1800</v>
      </c>
      <c r="D262" s="326">
        <v>15</v>
      </c>
      <c r="E262" s="326"/>
      <c r="F262" s="326"/>
    </row>
    <row r="263" spans="1:7" s="6" customFormat="1">
      <c r="B263" s="6" t="s">
        <v>1907</v>
      </c>
      <c r="C263" s="325" t="s">
        <v>1885</v>
      </c>
      <c r="D263" s="326">
        <v>3</v>
      </c>
      <c r="E263" s="326"/>
      <c r="F263" s="326"/>
    </row>
    <row r="264" spans="1:7" s="6" customFormat="1" ht="30">
      <c r="B264" s="6" t="s">
        <v>1908</v>
      </c>
      <c r="C264" s="325" t="s">
        <v>1800</v>
      </c>
      <c r="D264" s="326">
        <v>10</v>
      </c>
      <c r="E264" s="326"/>
      <c r="F264" s="326"/>
    </row>
    <row r="265" spans="1:7" s="6" customFormat="1">
      <c r="B265" s="6" t="s">
        <v>1909</v>
      </c>
      <c r="C265" s="325" t="s">
        <v>1800</v>
      </c>
      <c r="D265" s="326">
        <v>5</v>
      </c>
      <c r="E265" s="326"/>
      <c r="F265" s="326"/>
    </row>
    <row r="266" spans="1:7" s="324" customFormat="1">
      <c r="A266" s="332"/>
      <c r="B266" s="233" t="s">
        <v>1910</v>
      </c>
      <c r="C266" s="296" t="s">
        <v>1800</v>
      </c>
      <c r="D266" s="326">
        <v>42</v>
      </c>
      <c r="E266" s="333"/>
      <c r="F266" s="333"/>
      <c r="G266" s="334"/>
    </row>
    <row r="267" spans="1:7" s="324" customFormat="1">
      <c r="A267" s="332"/>
      <c r="B267" s="233" t="s">
        <v>1911</v>
      </c>
      <c r="C267" s="296" t="s">
        <v>1800</v>
      </c>
      <c r="D267" s="326">
        <v>42</v>
      </c>
      <c r="E267" s="333"/>
      <c r="F267" s="333"/>
      <c r="G267" s="334"/>
    </row>
    <row r="268" spans="1:7" s="6" customFormat="1" ht="30">
      <c r="B268" s="6" t="s">
        <v>1912</v>
      </c>
      <c r="C268" s="325" t="s">
        <v>1800</v>
      </c>
      <c r="D268" s="326">
        <v>1</v>
      </c>
      <c r="E268" s="326"/>
      <c r="F268" s="326"/>
    </row>
    <row r="269" spans="1:7" s="6" customFormat="1" ht="30">
      <c r="B269" s="6" t="s">
        <v>1913</v>
      </c>
      <c r="C269" s="325" t="s">
        <v>1800</v>
      </c>
      <c r="D269" s="326">
        <v>2</v>
      </c>
      <c r="E269" s="326"/>
      <c r="F269" s="326"/>
    </row>
    <row r="270" spans="1:7" s="6" customFormat="1">
      <c r="B270" s="6" t="s">
        <v>1914</v>
      </c>
      <c r="C270" s="325" t="s">
        <v>1885</v>
      </c>
      <c r="D270" s="326">
        <v>2</v>
      </c>
      <c r="E270" s="326"/>
      <c r="F270" s="326"/>
    </row>
    <row r="271" spans="1:7" s="6" customFormat="1">
      <c r="B271" s="6" t="s">
        <v>1824</v>
      </c>
      <c r="C271" s="325" t="s">
        <v>18</v>
      </c>
      <c r="D271" s="326">
        <v>1</v>
      </c>
      <c r="E271" s="326"/>
      <c r="F271" s="326"/>
    </row>
    <row r="272" spans="1:7" s="6" customFormat="1" ht="30">
      <c r="B272" s="6" t="s">
        <v>1891</v>
      </c>
      <c r="C272" s="325" t="s">
        <v>1823</v>
      </c>
      <c r="D272" s="326">
        <v>1</v>
      </c>
      <c r="E272" s="326"/>
      <c r="F272" s="326"/>
      <c r="G272" s="327"/>
    </row>
    <row r="273" spans="1:6" s="6" customFormat="1" ht="30">
      <c r="B273" s="6" t="s">
        <v>1915</v>
      </c>
      <c r="C273" s="325" t="s">
        <v>1823</v>
      </c>
      <c r="D273" s="326">
        <v>1</v>
      </c>
      <c r="E273" s="326"/>
      <c r="F273" s="326"/>
    </row>
    <row r="274" spans="1:6" s="6" customFormat="1">
      <c r="B274" s="6" t="s">
        <v>1826</v>
      </c>
      <c r="C274" s="325" t="s">
        <v>1823</v>
      </c>
      <c r="D274" s="326">
        <v>1</v>
      </c>
      <c r="E274" s="326"/>
      <c r="F274" s="326"/>
    </row>
    <row r="275" spans="1:6" s="6" customFormat="1">
      <c r="C275" s="325"/>
      <c r="D275" s="326"/>
      <c r="E275" s="326"/>
      <c r="F275" s="326"/>
    </row>
    <row r="276" spans="1:6" s="6" customFormat="1">
      <c r="C276" s="325"/>
      <c r="D276" s="326"/>
      <c r="E276" s="326"/>
      <c r="F276" s="326"/>
    </row>
    <row r="277" spans="1:6" s="6" customFormat="1" ht="60">
      <c r="A277" s="6" t="s">
        <v>288</v>
      </c>
      <c r="B277" s="6" t="s">
        <v>2455</v>
      </c>
      <c r="C277" s="325"/>
      <c r="D277" s="326"/>
      <c r="E277" s="326"/>
      <c r="F277" s="326"/>
    </row>
    <row r="278" spans="1:6" s="6" customFormat="1">
      <c r="B278" s="6" t="s">
        <v>1916</v>
      </c>
      <c r="C278" s="325" t="s">
        <v>1800</v>
      </c>
      <c r="D278" s="326">
        <v>1</v>
      </c>
      <c r="E278" s="326"/>
      <c r="F278" s="326"/>
    </row>
    <row r="279" spans="1:6" s="6" customFormat="1" ht="30">
      <c r="B279" s="6" t="s">
        <v>1894</v>
      </c>
      <c r="C279" s="325" t="s">
        <v>1800</v>
      </c>
      <c r="D279" s="326">
        <v>2</v>
      </c>
      <c r="E279" s="326"/>
      <c r="F279" s="326"/>
    </row>
    <row r="280" spans="1:6" s="6" customFormat="1">
      <c r="B280" s="6" t="s">
        <v>1896</v>
      </c>
      <c r="C280" s="325" t="s">
        <v>1800</v>
      </c>
      <c r="D280" s="326">
        <v>3</v>
      </c>
      <c r="E280" s="326"/>
      <c r="F280" s="326"/>
    </row>
    <row r="281" spans="1:6" s="6" customFormat="1">
      <c r="B281" s="6" t="s">
        <v>1917</v>
      </c>
      <c r="C281" s="325" t="s">
        <v>1800</v>
      </c>
      <c r="D281" s="326">
        <v>3</v>
      </c>
      <c r="E281" s="326"/>
      <c r="F281" s="326"/>
    </row>
    <row r="282" spans="1:6" s="6" customFormat="1" ht="30">
      <c r="B282" s="6" t="s">
        <v>1851</v>
      </c>
      <c r="C282" s="325" t="s">
        <v>1800</v>
      </c>
      <c r="D282" s="326">
        <v>3</v>
      </c>
      <c r="E282" s="326"/>
      <c r="F282" s="326"/>
    </row>
    <row r="283" spans="1:6" s="6" customFormat="1" ht="195">
      <c r="B283" s="6" t="s">
        <v>1852</v>
      </c>
      <c r="C283" s="325" t="s">
        <v>18</v>
      </c>
      <c r="D283" s="326">
        <v>1</v>
      </c>
      <c r="E283" s="326"/>
      <c r="F283" s="326"/>
    </row>
    <row r="284" spans="1:6" s="6" customFormat="1">
      <c r="B284" s="6" t="s">
        <v>1808</v>
      </c>
      <c r="C284" s="325" t="s">
        <v>18</v>
      </c>
      <c r="D284" s="326">
        <v>3</v>
      </c>
      <c r="E284" s="326"/>
      <c r="F284" s="326"/>
    </row>
    <row r="285" spans="1:6" s="6" customFormat="1" ht="30">
      <c r="B285" s="6" t="s">
        <v>1832</v>
      </c>
      <c r="C285" s="325" t="s">
        <v>18</v>
      </c>
      <c r="D285" s="326">
        <v>1</v>
      </c>
      <c r="E285" s="326"/>
      <c r="F285" s="326"/>
    </row>
    <row r="286" spans="1:6" s="6" customFormat="1" ht="30">
      <c r="B286" s="6" t="s">
        <v>1810</v>
      </c>
      <c r="C286" s="325" t="s">
        <v>1800</v>
      </c>
      <c r="D286" s="326">
        <v>3</v>
      </c>
      <c r="E286" s="326"/>
      <c r="F286" s="326"/>
    </row>
    <row r="287" spans="1:6" s="6" customFormat="1">
      <c r="B287" s="6" t="s">
        <v>1837</v>
      </c>
      <c r="C287" s="325" t="s">
        <v>18</v>
      </c>
      <c r="D287" s="326">
        <v>2</v>
      </c>
      <c r="E287" s="326"/>
      <c r="F287" s="326"/>
    </row>
    <row r="288" spans="1:6" s="6" customFormat="1">
      <c r="B288" s="6" t="s">
        <v>1897</v>
      </c>
      <c r="C288" s="325" t="s">
        <v>1800</v>
      </c>
      <c r="D288" s="326">
        <v>1</v>
      </c>
      <c r="E288" s="326"/>
      <c r="F288" s="326"/>
    </row>
    <row r="289" spans="2:6" s="6" customFormat="1" ht="30">
      <c r="B289" s="6" t="s">
        <v>1898</v>
      </c>
      <c r="C289" s="325" t="s">
        <v>1800</v>
      </c>
      <c r="D289" s="326">
        <v>1</v>
      </c>
      <c r="E289" s="326"/>
      <c r="F289" s="326"/>
    </row>
    <row r="290" spans="2:6" s="6" customFormat="1" ht="30">
      <c r="B290" s="6" t="s">
        <v>1863</v>
      </c>
      <c r="C290" s="325" t="s">
        <v>1800</v>
      </c>
      <c r="D290" s="326">
        <v>1</v>
      </c>
      <c r="E290" s="326"/>
      <c r="F290" s="326"/>
    </row>
    <row r="291" spans="2:6" s="6" customFormat="1">
      <c r="B291" s="6" t="s">
        <v>1864</v>
      </c>
      <c r="C291" s="325" t="s">
        <v>1800</v>
      </c>
      <c r="D291" s="326">
        <v>3</v>
      </c>
      <c r="E291" s="326"/>
      <c r="F291" s="326"/>
    </row>
    <row r="292" spans="2:6" s="6" customFormat="1" ht="30">
      <c r="B292" s="6" t="s">
        <v>1861</v>
      </c>
      <c r="C292" s="325" t="s">
        <v>18</v>
      </c>
      <c r="D292" s="326">
        <v>1</v>
      </c>
      <c r="E292" s="326"/>
      <c r="F292" s="326"/>
    </row>
    <row r="293" spans="2:6" s="6" customFormat="1" ht="30">
      <c r="B293" s="6" t="s">
        <v>1862</v>
      </c>
      <c r="C293" s="325" t="s">
        <v>1800</v>
      </c>
      <c r="D293" s="326">
        <v>2</v>
      </c>
      <c r="E293" s="326"/>
      <c r="F293" s="326"/>
    </row>
    <row r="294" spans="2:6" s="6" customFormat="1">
      <c r="B294" s="6" t="s">
        <v>1859</v>
      </c>
      <c r="C294" s="325" t="s">
        <v>1800</v>
      </c>
      <c r="D294" s="326">
        <v>2</v>
      </c>
      <c r="E294" s="326"/>
      <c r="F294" s="326"/>
    </row>
    <row r="295" spans="2:6" s="6" customFormat="1">
      <c r="B295" s="6" t="s">
        <v>1860</v>
      </c>
      <c r="C295" s="325" t="s">
        <v>1800</v>
      </c>
      <c r="D295" s="326">
        <v>2</v>
      </c>
      <c r="E295" s="326"/>
      <c r="F295" s="326"/>
    </row>
    <row r="296" spans="2:6" s="6" customFormat="1" ht="30">
      <c r="B296" s="6" t="s">
        <v>1865</v>
      </c>
      <c r="C296" s="325" t="s">
        <v>1800</v>
      </c>
      <c r="D296" s="326">
        <v>9</v>
      </c>
      <c r="E296" s="326"/>
      <c r="F296" s="326"/>
    </row>
    <row r="297" spans="2:6" s="6" customFormat="1" ht="30">
      <c r="B297" s="6" t="s">
        <v>1811</v>
      </c>
      <c r="C297" s="325" t="s">
        <v>1800</v>
      </c>
      <c r="D297" s="326">
        <v>6</v>
      </c>
      <c r="E297" s="326"/>
      <c r="F297" s="326"/>
    </row>
    <row r="298" spans="2:6" s="6" customFormat="1" ht="30">
      <c r="B298" s="6" t="s">
        <v>1866</v>
      </c>
      <c r="C298" s="325" t="s">
        <v>1800</v>
      </c>
      <c r="D298" s="326">
        <v>1</v>
      </c>
      <c r="E298" s="326"/>
      <c r="F298" s="326"/>
    </row>
    <row r="299" spans="2:6" s="6" customFormat="1" ht="30">
      <c r="B299" s="6" t="s">
        <v>1867</v>
      </c>
      <c r="C299" s="325" t="s">
        <v>1800</v>
      </c>
      <c r="D299" s="326">
        <v>20</v>
      </c>
      <c r="E299" s="326"/>
      <c r="F299" s="326"/>
    </row>
    <row r="300" spans="2:6" s="6" customFormat="1" ht="30">
      <c r="B300" s="6" t="s">
        <v>1899</v>
      </c>
      <c r="C300" s="325" t="s">
        <v>1800</v>
      </c>
      <c r="D300" s="326">
        <v>1</v>
      </c>
      <c r="E300" s="326"/>
      <c r="F300" s="326"/>
    </row>
    <row r="301" spans="2:6" s="6" customFormat="1" ht="30">
      <c r="B301" s="6" t="s">
        <v>1900</v>
      </c>
      <c r="C301" s="325" t="s">
        <v>1800</v>
      </c>
      <c r="D301" s="326">
        <v>3</v>
      </c>
      <c r="E301" s="326"/>
      <c r="F301" s="326"/>
    </row>
    <row r="302" spans="2:6" s="6" customFormat="1" ht="30">
      <c r="B302" s="6" t="s">
        <v>1871</v>
      </c>
      <c r="C302" s="325" t="s">
        <v>1800</v>
      </c>
      <c r="D302" s="326">
        <v>1</v>
      </c>
      <c r="E302" s="326"/>
      <c r="F302" s="326"/>
    </row>
    <row r="303" spans="2:6" s="6" customFormat="1">
      <c r="B303" s="6" t="s">
        <v>1901</v>
      </c>
      <c r="C303" s="325" t="s">
        <v>18</v>
      </c>
      <c r="D303" s="326">
        <v>3</v>
      </c>
      <c r="E303" s="326"/>
      <c r="F303" s="326"/>
    </row>
    <row r="304" spans="2:6" s="6" customFormat="1">
      <c r="B304" s="6" t="s">
        <v>1902</v>
      </c>
      <c r="C304" s="325" t="s">
        <v>18</v>
      </c>
      <c r="D304" s="326">
        <v>3</v>
      </c>
      <c r="E304" s="326"/>
      <c r="F304" s="326"/>
    </row>
    <row r="305" spans="2:6" s="6" customFormat="1">
      <c r="B305" s="6" t="s">
        <v>1903</v>
      </c>
      <c r="C305" s="325" t="s">
        <v>18</v>
      </c>
      <c r="D305" s="326">
        <v>3</v>
      </c>
      <c r="E305" s="326"/>
      <c r="F305" s="326"/>
    </row>
    <row r="306" spans="2:6" s="6" customFormat="1">
      <c r="B306" s="6" t="s">
        <v>1869</v>
      </c>
      <c r="C306" s="325" t="s">
        <v>18</v>
      </c>
      <c r="D306" s="326">
        <v>3</v>
      </c>
      <c r="E306" s="326"/>
      <c r="F306" s="326"/>
    </row>
    <row r="307" spans="2:6" s="6" customFormat="1" ht="30">
      <c r="B307" s="6" t="s">
        <v>1874</v>
      </c>
      <c r="C307" s="325" t="s">
        <v>18</v>
      </c>
      <c r="D307" s="326">
        <v>3</v>
      </c>
      <c r="E307" s="326"/>
      <c r="F307" s="326"/>
    </row>
    <row r="308" spans="2:6" s="6" customFormat="1" ht="30">
      <c r="B308" s="6" t="s">
        <v>1851</v>
      </c>
      <c r="C308" s="325" t="s">
        <v>18</v>
      </c>
      <c r="D308" s="326">
        <v>3</v>
      </c>
      <c r="E308" s="326"/>
      <c r="F308" s="326"/>
    </row>
    <row r="309" spans="2:6" s="6" customFormat="1" ht="30">
      <c r="B309" s="6" t="s">
        <v>1875</v>
      </c>
      <c r="C309" s="325" t="s">
        <v>18</v>
      </c>
      <c r="D309" s="326">
        <v>3</v>
      </c>
      <c r="E309" s="326"/>
      <c r="F309" s="326"/>
    </row>
    <row r="310" spans="2:6" s="6" customFormat="1" ht="30">
      <c r="B310" s="6" t="s">
        <v>1876</v>
      </c>
      <c r="C310" s="325" t="s">
        <v>18</v>
      </c>
      <c r="D310" s="326">
        <v>3</v>
      </c>
      <c r="E310" s="326"/>
      <c r="F310" s="326"/>
    </row>
    <row r="311" spans="2:6" s="6" customFormat="1">
      <c r="B311" s="6" t="s">
        <v>1877</v>
      </c>
      <c r="C311" s="325" t="s">
        <v>18</v>
      </c>
      <c r="D311" s="326">
        <v>3</v>
      </c>
      <c r="E311" s="326"/>
      <c r="F311" s="326"/>
    </row>
    <row r="312" spans="2:6" s="6" customFormat="1">
      <c r="B312" s="6" t="s">
        <v>1878</v>
      </c>
      <c r="C312" s="325" t="s">
        <v>18</v>
      </c>
      <c r="D312" s="326">
        <v>1</v>
      </c>
      <c r="E312" s="326"/>
      <c r="F312" s="326"/>
    </row>
    <row r="313" spans="2:6" s="6" customFormat="1" ht="30">
      <c r="B313" s="6" t="s">
        <v>1879</v>
      </c>
      <c r="C313" s="325" t="s">
        <v>1800</v>
      </c>
      <c r="D313" s="326">
        <v>1</v>
      </c>
      <c r="E313" s="326"/>
      <c r="F313" s="326"/>
    </row>
    <row r="314" spans="2:6" s="6" customFormat="1" ht="30">
      <c r="B314" s="6" t="s">
        <v>1880</v>
      </c>
      <c r="C314" s="325" t="s">
        <v>1800</v>
      </c>
      <c r="D314" s="326">
        <v>1</v>
      </c>
      <c r="E314" s="326"/>
      <c r="F314" s="326"/>
    </row>
    <row r="315" spans="2:6" s="6" customFormat="1">
      <c r="B315" s="6" t="s">
        <v>1869</v>
      </c>
      <c r="C315" s="325" t="s">
        <v>18</v>
      </c>
      <c r="D315" s="326">
        <v>1</v>
      </c>
      <c r="E315" s="326"/>
      <c r="F315" s="326"/>
    </row>
    <row r="316" spans="2:6" s="6" customFormat="1" ht="45">
      <c r="B316" s="6" t="s">
        <v>1918</v>
      </c>
      <c r="C316" s="325" t="s">
        <v>1800</v>
      </c>
      <c r="D316" s="326">
        <v>1</v>
      </c>
      <c r="E316" s="326"/>
      <c r="F316" s="326"/>
    </row>
    <row r="317" spans="2:6" s="6" customFormat="1" ht="30">
      <c r="B317" s="6" t="s">
        <v>1919</v>
      </c>
      <c r="C317" s="325" t="s">
        <v>1800</v>
      </c>
      <c r="D317" s="326">
        <v>2</v>
      </c>
      <c r="E317" s="326"/>
      <c r="F317" s="326"/>
    </row>
    <row r="318" spans="2:6" s="6" customFormat="1">
      <c r="B318" s="6" t="s">
        <v>1906</v>
      </c>
      <c r="C318" s="325" t="s">
        <v>1800</v>
      </c>
      <c r="D318" s="326">
        <v>15</v>
      </c>
      <c r="E318" s="326"/>
      <c r="F318" s="326"/>
    </row>
    <row r="319" spans="2:6" s="6" customFormat="1">
      <c r="B319" s="6" t="s">
        <v>1907</v>
      </c>
      <c r="C319" s="325" t="s">
        <v>1885</v>
      </c>
      <c r="D319" s="326">
        <v>3</v>
      </c>
      <c r="E319" s="326"/>
      <c r="F319" s="326"/>
    </row>
    <row r="320" spans="2:6" s="6" customFormat="1" ht="30">
      <c r="B320" s="6" t="s">
        <v>1908</v>
      </c>
      <c r="C320" s="325" t="s">
        <v>1800</v>
      </c>
      <c r="D320" s="326">
        <v>8</v>
      </c>
      <c r="E320" s="326"/>
      <c r="F320" s="326"/>
    </row>
    <row r="321" spans="1:7" s="6" customFormat="1">
      <c r="B321" s="6" t="s">
        <v>1909</v>
      </c>
      <c r="C321" s="325" t="s">
        <v>1800</v>
      </c>
      <c r="D321" s="326">
        <v>2</v>
      </c>
      <c r="E321" s="326"/>
      <c r="F321" s="326"/>
    </row>
    <row r="322" spans="1:7" s="324" customFormat="1">
      <c r="A322" s="332"/>
      <c r="B322" s="233" t="s">
        <v>1910</v>
      </c>
      <c r="C322" s="296" t="s">
        <v>1800</v>
      </c>
      <c r="D322" s="326">
        <v>24</v>
      </c>
      <c r="E322" s="333"/>
      <c r="F322" s="333"/>
      <c r="G322" s="334"/>
    </row>
    <row r="323" spans="1:7" s="324" customFormat="1">
      <c r="A323" s="332"/>
      <c r="B323" s="233" t="s">
        <v>1911</v>
      </c>
      <c r="C323" s="296" t="s">
        <v>1800</v>
      </c>
      <c r="D323" s="326">
        <v>24</v>
      </c>
      <c r="E323" s="333"/>
      <c r="F323" s="333"/>
      <c r="G323" s="334"/>
    </row>
    <row r="324" spans="1:7" s="6" customFormat="1" ht="30">
      <c r="B324" s="6" t="s">
        <v>1920</v>
      </c>
      <c r="C324" s="325" t="s">
        <v>1800</v>
      </c>
      <c r="D324" s="326">
        <v>1</v>
      </c>
      <c r="E324" s="326"/>
      <c r="F324" s="326"/>
    </row>
    <row r="325" spans="1:7" s="6" customFormat="1" ht="30">
      <c r="B325" s="6" t="s">
        <v>1913</v>
      </c>
      <c r="C325" s="325" t="s">
        <v>1800</v>
      </c>
      <c r="D325" s="326">
        <v>2</v>
      </c>
      <c r="E325" s="326"/>
      <c r="F325" s="326"/>
    </row>
    <row r="326" spans="1:7" s="6" customFormat="1">
      <c r="B326" s="6" t="s">
        <v>1914</v>
      </c>
      <c r="C326" s="325" t="s">
        <v>1885</v>
      </c>
      <c r="D326" s="326">
        <v>2</v>
      </c>
      <c r="E326" s="326"/>
      <c r="F326" s="326"/>
    </row>
    <row r="327" spans="1:7" s="6" customFormat="1">
      <c r="B327" s="6" t="s">
        <v>1824</v>
      </c>
      <c r="C327" s="325" t="s">
        <v>18</v>
      </c>
      <c r="D327" s="326">
        <v>1</v>
      </c>
      <c r="E327" s="326"/>
      <c r="F327" s="326"/>
    </row>
    <row r="328" spans="1:7" s="6" customFormat="1" ht="30">
      <c r="B328" s="6" t="s">
        <v>1891</v>
      </c>
      <c r="C328" s="325" t="s">
        <v>1823</v>
      </c>
      <c r="D328" s="326">
        <v>1</v>
      </c>
      <c r="E328" s="326"/>
      <c r="F328" s="326"/>
      <c r="G328" s="327"/>
    </row>
    <row r="329" spans="1:7" s="6" customFormat="1" ht="30">
      <c r="B329" s="6" t="s">
        <v>1915</v>
      </c>
      <c r="C329" s="325" t="s">
        <v>1823</v>
      </c>
      <c r="D329" s="326">
        <v>1</v>
      </c>
      <c r="E329" s="326"/>
      <c r="F329" s="326"/>
    </row>
    <row r="330" spans="1:7" s="6" customFormat="1">
      <c r="B330" s="6" t="s">
        <v>1826</v>
      </c>
      <c r="C330" s="325" t="s">
        <v>1823</v>
      </c>
      <c r="D330" s="326">
        <v>1</v>
      </c>
      <c r="E330" s="326"/>
      <c r="F330" s="326"/>
    </row>
    <row r="331" spans="1:7" s="6" customFormat="1">
      <c r="C331" s="325"/>
      <c r="D331" s="326"/>
      <c r="E331" s="326"/>
      <c r="F331" s="326"/>
    </row>
    <row r="332" spans="1:7" s="6" customFormat="1">
      <c r="C332" s="325"/>
      <c r="D332" s="326"/>
      <c r="E332" s="326"/>
      <c r="F332" s="326"/>
    </row>
    <row r="333" spans="1:7" s="6" customFormat="1" ht="30">
      <c r="A333" s="6" t="s">
        <v>281</v>
      </c>
      <c r="B333" s="6" t="s">
        <v>1921</v>
      </c>
      <c r="C333" s="325" t="s">
        <v>1800</v>
      </c>
      <c r="D333" s="326">
        <v>3</v>
      </c>
      <c r="E333" s="326"/>
      <c r="F333" s="326"/>
    </row>
    <row r="334" spans="1:7" s="6" customFormat="1">
      <c r="C334" s="325"/>
      <c r="D334" s="326"/>
      <c r="E334" s="326"/>
      <c r="F334" s="326"/>
    </row>
    <row r="335" spans="1:7" s="5" customFormat="1">
      <c r="B335" s="5" t="s">
        <v>1922</v>
      </c>
      <c r="C335" s="260"/>
      <c r="D335" s="328"/>
      <c r="E335" s="328"/>
      <c r="F335" s="328"/>
      <c r="G335" s="6"/>
    </row>
    <row r="336" spans="1:7" s="6" customFormat="1">
      <c r="C336" s="325"/>
      <c r="D336" s="326"/>
      <c r="E336" s="326"/>
      <c r="F336" s="326"/>
    </row>
    <row r="337" spans="1:10" s="6" customFormat="1">
      <c r="C337" s="325"/>
      <c r="D337" s="326"/>
      <c r="E337" s="326"/>
      <c r="F337" s="326"/>
    </row>
    <row r="338" spans="1:10" s="6" customFormat="1">
      <c r="C338" s="325"/>
      <c r="D338" s="326"/>
      <c r="E338" s="326"/>
      <c r="F338" s="326"/>
    </row>
    <row r="339" spans="1:10" s="317" customFormat="1">
      <c r="A339" s="317" t="s">
        <v>2444</v>
      </c>
      <c r="B339" s="317" t="s">
        <v>1923</v>
      </c>
      <c r="C339" s="330"/>
      <c r="D339" s="331"/>
      <c r="E339" s="331"/>
      <c r="F339" s="335"/>
      <c r="G339" s="6"/>
    </row>
    <row r="340" spans="1:10" s="6" customFormat="1">
      <c r="C340" s="325"/>
      <c r="D340" s="326"/>
      <c r="E340" s="326"/>
      <c r="F340" s="326"/>
    </row>
    <row r="341" spans="1:10" s="6" customFormat="1">
      <c r="C341" s="325"/>
      <c r="D341" s="326"/>
      <c r="E341" s="326"/>
      <c r="F341" s="326"/>
    </row>
    <row r="342" spans="1:10">
      <c r="A342" s="336"/>
      <c r="B342" s="337" t="s">
        <v>771</v>
      </c>
      <c r="C342" s="338"/>
      <c r="D342" s="339"/>
      <c r="E342" s="340"/>
      <c r="F342" s="340"/>
      <c r="G342" s="232"/>
      <c r="H342" s="232"/>
      <c r="I342" s="232"/>
      <c r="J342" s="232"/>
    </row>
    <row r="343" spans="1:10">
      <c r="A343" s="336"/>
      <c r="B343" s="337"/>
      <c r="C343" s="338"/>
      <c r="D343" s="339"/>
      <c r="E343" s="340"/>
      <c r="F343" s="340"/>
      <c r="G343" s="232"/>
      <c r="H343" s="232"/>
      <c r="I343" s="232"/>
      <c r="J343" s="232"/>
    </row>
    <row r="344" spans="1:10" ht="315">
      <c r="A344" s="336"/>
      <c r="B344" s="337" t="s">
        <v>1924</v>
      </c>
      <c r="C344" s="338"/>
      <c r="D344" s="339"/>
      <c r="E344" s="340"/>
      <c r="F344" s="340"/>
      <c r="G344" s="232"/>
      <c r="H344" s="232"/>
      <c r="I344" s="232"/>
      <c r="J344" s="232"/>
    </row>
    <row r="345" spans="1:10" ht="60">
      <c r="A345" s="336"/>
      <c r="B345" s="341" t="s">
        <v>1925</v>
      </c>
      <c r="C345" s="338"/>
      <c r="D345" s="339"/>
      <c r="E345" s="340"/>
      <c r="F345" s="340"/>
      <c r="G345" s="232"/>
      <c r="H345" s="232"/>
      <c r="I345" s="232"/>
      <c r="J345" s="232"/>
    </row>
    <row r="346" spans="1:10" ht="180">
      <c r="A346" s="336"/>
      <c r="B346" s="341" t="s">
        <v>1926</v>
      </c>
      <c r="C346" s="338"/>
      <c r="D346" s="339"/>
      <c r="E346" s="340"/>
      <c r="F346" s="340"/>
      <c r="G346" s="232"/>
      <c r="H346" s="232"/>
      <c r="I346" s="232"/>
      <c r="J346" s="232"/>
    </row>
    <row r="347" spans="1:10" ht="105">
      <c r="A347" s="336"/>
      <c r="B347" s="341" t="s">
        <v>1927</v>
      </c>
      <c r="C347" s="338"/>
      <c r="D347" s="339"/>
      <c r="E347" s="340"/>
      <c r="F347" s="340"/>
      <c r="G347" s="232"/>
      <c r="H347" s="232"/>
      <c r="I347" s="232"/>
      <c r="J347" s="232"/>
    </row>
    <row r="348" spans="1:10">
      <c r="A348" s="336"/>
      <c r="B348" s="342"/>
      <c r="C348" s="9"/>
      <c r="D348" s="9"/>
      <c r="E348" s="338"/>
      <c r="F348" s="338"/>
      <c r="G348" s="232"/>
      <c r="H348" s="232"/>
      <c r="I348" s="232"/>
      <c r="J348" s="232"/>
    </row>
    <row r="349" spans="1:10" s="6" customFormat="1" ht="165">
      <c r="A349" s="6" t="s">
        <v>282</v>
      </c>
      <c r="B349" s="6" t="s">
        <v>2456</v>
      </c>
      <c r="C349" s="325"/>
      <c r="D349" s="326"/>
      <c r="E349" s="326"/>
      <c r="F349" s="326"/>
    </row>
    <row r="350" spans="1:10" s="6" customFormat="1" ht="360">
      <c r="B350" s="6" t="s">
        <v>1928</v>
      </c>
      <c r="C350" s="325"/>
      <c r="D350" s="326"/>
      <c r="E350" s="326"/>
      <c r="F350" s="326"/>
    </row>
    <row r="351" spans="1:10" s="6" customFormat="1">
      <c r="B351" s="6" t="s">
        <v>75</v>
      </c>
      <c r="C351" s="325" t="s">
        <v>18</v>
      </c>
      <c r="D351" s="326">
        <v>45</v>
      </c>
      <c r="E351" s="326"/>
      <c r="F351" s="326"/>
    </row>
    <row r="352" spans="1:10" s="6" customFormat="1">
      <c r="C352" s="325"/>
      <c r="D352" s="326"/>
      <c r="E352" s="326"/>
      <c r="F352" s="326"/>
    </row>
    <row r="353" spans="1:6" s="6" customFormat="1" ht="180">
      <c r="A353" s="6" t="s">
        <v>294</v>
      </c>
      <c r="B353" s="6" t="s">
        <v>2457</v>
      </c>
      <c r="C353" s="325"/>
      <c r="D353" s="326"/>
      <c r="E353" s="326"/>
      <c r="F353" s="326"/>
    </row>
    <row r="354" spans="1:6" s="6" customFormat="1" ht="270">
      <c r="B354" s="6" t="s">
        <v>1929</v>
      </c>
      <c r="C354" s="325"/>
      <c r="D354" s="326"/>
      <c r="E354" s="326"/>
      <c r="F354" s="326"/>
    </row>
    <row r="355" spans="1:6" s="6" customFormat="1">
      <c r="B355" s="6" t="s">
        <v>75</v>
      </c>
      <c r="C355" s="325" t="s">
        <v>18</v>
      </c>
      <c r="D355" s="326">
        <v>7</v>
      </c>
      <c r="E355" s="326"/>
      <c r="F355" s="326"/>
    </row>
    <row r="356" spans="1:6" s="6" customFormat="1">
      <c r="C356" s="325"/>
      <c r="D356" s="326"/>
      <c r="E356" s="326"/>
      <c r="F356" s="326"/>
    </row>
    <row r="357" spans="1:6" s="6" customFormat="1" ht="165">
      <c r="A357" s="6" t="s">
        <v>288</v>
      </c>
      <c r="B357" s="6" t="s">
        <v>2458</v>
      </c>
      <c r="C357" s="325"/>
      <c r="D357" s="326"/>
      <c r="E357" s="326"/>
      <c r="F357" s="326"/>
    </row>
    <row r="358" spans="1:6" s="6" customFormat="1" ht="330">
      <c r="B358" s="6" t="s">
        <v>1930</v>
      </c>
      <c r="C358" s="325"/>
      <c r="D358" s="326"/>
      <c r="E358" s="326"/>
      <c r="F358" s="326"/>
    </row>
    <row r="359" spans="1:6" s="6" customFormat="1">
      <c r="B359" s="6" t="s">
        <v>75</v>
      </c>
      <c r="C359" s="325" t="s">
        <v>18</v>
      </c>
      <c r="D359" s="326">
        <v>49</v>
      </c>
      <c r="E359" s="326"/>
      <c r="F359" s="326"/>
    </row>
    <row r="360" spans="1:6" s="6" customFormat="1">
      <c r="C360" s="325"/>
      <c r="D360" s="326"/>
      <c r="E360" s="326"/>
      <c r="F360" s="326"/>
    </row>
    <row r="361" spans="1:6" s="6" customFormat="1" ht="135">
      <c r="A361" s="6" t="s">
        <v>281</v>
      </c>
      <c r="B361" s="6" t="s">
        <v>2459</v>
      </c>
      <c r="C361" s="325"/>
      <c r="D361" s="326"/>
      <c r="E361" s="326"/>
      <c r="F361" s="326"/>
    </row>
    <row r="362" spans="1:6" s="6" customFormat="1" ht="345">
      <c r="B362" s="6" t="s">
        <v>1931</v>
      </c>
      <c r="C362" s="325"/>
      <c r="D362" s="326"/>
      <c r="E362" s="326"/>
      <c r="F362" s="326"/>
    </row>
    <row r="363" spans="1:6" s="6" customFormat="1">
      <c r="B363" s="6" t="s">
        <v>75</v>
      </c>
      <c r="C363" s="325" t="s">
        <v>18</v>
      </c>
      <c r="D363" s="326">
        <v>8</v>
      </c>
      <c r="E363" s="326"/>
      <c r="F363" s="326"/>
    </row>
    <row r="364" spans="1:6" s="6" customFormat="1">
      <c r="C364" s="325"/>
      <c r="D364" s="326"/>
      <c r="E364" s="326"/>
      <c r="F364" s="326"/>
    </row>
    <row r="365" spans="1:6" s="6" customFormat="1" ht="135">
      <c r="A365" s="6" t="s">
        <v>293</v>
      </c>
      <c r="B365" s="6" t="s">
        <v>2460</v>
      </c>
      <c r="C365" s="325"/>
      <c r="D365" s="326"/>
      <c r="E365" s="326"/>
      <c r="F365" s="326"/>
    </row>
    <row r="366" spans="1:6" s="6" customFormat="1" ht="345">
      <c r="B366" s="6" t="s">
        <v>1932</v>
      </c>
      <c r="C366" s="325"/>
      <c r="D366" s="326"/>
      <c r="E366" s="326"/>
      <c r="F366" s="326"/>
    </row>
    <row r="367" spans="1:6" s="6" customFormat="1">
      <c r="B367" s="6" t="s">
        <v>75</v>
      </c>
      <c r="C367" s="325" t="s">
        <v>18</v>
      </c>
      <c r="D367" s="326">
        <v>2</v>
      </c>
      <c r="E367" s="326"/>
      <c r="F367" s="326"/>
    </row>
    <row r="368" spans="1:6" s="6" customFormat="1">
      <c r="C368" s="325"/>
      <c r="D368" s="326"/>
      <c r="E368" s="326"/>
      <c r="F368" s="326"/>
    </row>
    <row r="369" spans="1:6" s="6" customFormat="1" ht="165">
      <c r="A369" s="6" t="s">
        <v>300</v>
      </c>
      <c r="B369" s="6" t="s">
        <v>2461</v>
      </c>
      <c r="C369" s="325"/>
      <c r="D369" s="326"/>
      <c r="E369" s="326"/>
      <c r="F369" s="326"/>
    </row>
    <row r="370" spans="1:6" s="6" customFormat="1" ht="360">
      <c r="B370" s="6" t="s">
        <v>1933</v>
      </c>
      <c r="C370" s="325"/>
      <c r="D370" s="326"/>
      <c r="E370" s="326"/>
      <c r="F370" s="326"/>
    </row>
    <row r="371" spans="1:6" s="6" customFormat="1">
      <c r="B371" s="6" t="s">
        <v>75</v>
      </c>
      <c r="C371" s="325" t="s">
        <v>18</v>
      </c>
      <c r="D371" s="326">
        <v>52</v>
      </c>
      <c r="E371" s="326"/>
      <c r="F371" s="326"/>
    </row>
    <row r="372" spans="1:6" s="6" customFormat="1">
      <c r="C372" s="325"/>
      <c r="D372" s="326"/>
      <c r="E372" s="326"/>
      <c r="F372" s="326"/>
    </row>
    <row r="373" spans="1:6" s="6" customFormat="1" ht="120">
      <c r="A373" s="6" t="s">
        <v>301</v>
      </c>
      <c r="B373" s="6" t="s">
        <v>2462</v>
      </c>
      <c r="C373" s="325"/>
      <c r="D373" s="326"/>
      <c r="E373" s="326"/>
      <c r="F373" s="326"/>
    </row>
    <row r="374" spans="1:6" s="6" customFormat="1" ht="360">
      <c r="B374" s="6" t="s">
        <v>1934</v>
      </c>
      <c r="C374" s="325"/>
      <c r="D374" s="326"/>
      <c r="E374" s="326"/>
      <c r="F374" s="326"/>
    </row>
    <row r="375" spans="1:6" s="6" customFormat="1">
      <c r="B375" s="6" t="s">
        <v>75</v>
      </c>
      <c r="C375" s="325" t="s">
        <v>18</v>
      </c>
      <c r="D375" s="326">
        <v>4</v>
      </c>
      <c r="E375" s="326"/>
      <c r="F375" s="326"/>
    </row>
    <row r="376" spans="1:6" s="6" customFormat="1">
      <c r="C376" s="325"/>
      <c r="D376" s="326"/>
      <c r="E376" s="326"/>
      <c r="F376" s="326"/>
    </row>
    <row r="377" spans="1:6" s="6" customFormat="1" ht="135">
      <c r="A377" s="6" t="s">
        <v>302</v>
      </c>
      <c r="B377" s="6" t="s">
        <v>2463</v>
      </c>
      <c r="C377" s="325"/>
      <c r="D377" s="326"/>
      <c r="E377" s="326"/>
      <c r="F377" s="326"/>
    </row>
    <row r="378" spans="1:6" s="6" customFormat="1" ht="409.5">
      <c r="B378" s="6" t="s">
        <v>1935</v>
      </c>
      <c r="C378" s="325"/>
      <c r="D378" s="326"/>
      <c r="E378" s="326"/>
      <c r="F378" s="326"/>
    </row>
    <row r="379" spans="1:6" s="6" customFormat="1">
      <c r="B379" s="6" t="s">
        <v>75</v>
      </c>
      <c r="C379" s="325" t="s">
        <v>18</v>
      </c>
      <c r="D379" s="326">
        <v>6</v>
      </c>
      <c r="E379" s="326"/>
      <c r="F379" s="326"/>
    </row>
    <row r="380" spans="1:6" s="6" customFormat="1">
      <c r="C380" s="325"/>
      <c r="D380" s="326"/>
      <c r="E380" s="326"/>
      <c r="F380" s="326"/>
    </row>
    <row r="381" spans="1:6" s="6" customFormat="1" ht="150">
      <c r="A381" s="6" t="s">
        <v>303</v>
      </c>
      <c r="B381" s="6" t="s">
        <v>2464</v>
      </c>
      <c r="C381" s="325"/>
      <c r="D381" s="326"/>
      <c r="E381" s="326"/>
      <c r="F381" s="326"/>
    </row>
    <row r="382" spans="1:6" s="6" customFormat="1" ht="409.5">
      <c r="B382" s="6" t="s">
        <v>1936</v>
      </c>
      <c r="C382" s="325"/>
      <c r="D382" s="326"/>
      <c r="E382" s="326"/>
      <c r="F382" s="326"/>
    </row>
    <row r="383" spans="1:6" s="6" customFormat="1">
      <c r="B383" s="6" t="s">
        <v>75</v>
      </c>
      <c r="C383" s="325" t="s">
        <v>18</v>
      </c>
      <c r="D383" s="326">
        <v>5</v>
      </c>
      <c r="E383" s="326"/>
      <c r="F383" s="326"/>
    </row>
    <row r="384" spans="1:6" s="6" customFormat="1">
      <c r="C384" s="325"/>
      <c r="D384" s="326"/>
      <c r="E384" s="326"/>
      <c r="F384" s="326"/>
    </row>
    <row r="385" spans="1:6" s="6" customFormat="1" ht="120">
      <c r="A385" s="6" t="s">
        <v>304</v>
      </c>
      <c r="B385" s="6" t="s">
        <v>2465</v>
      </c>
      <c r="C385" s="325"/>
      <c r="D385" s="326"/>
      <c r="E385" s="326"/>
      <c r="F385" s="326"/>
    </row>
    <row r="386" spans="1:6" s="6" customFormat="1" ht="300">
      <c r="B386" s="6" t="s">
        <v>1937</v>
      </c>
      <c r="C386" s="325"/>
      <c r="D386" s="326"/>
      <c r="E386" s="326"/>
      <c r="F386" s="326"/>
    </row>
    <row r="387" spans="1:6" s="6" customFormat="1">
      <c r="B387" s="6" t="s">
        <v>75</v>
      </c>
      <c r="C387" s="325" t="s">
        <v>18</v>
      </c>
      <c r="D387" s="326">
        <v>4</v>
      </c>
      <c r="E387" s="326"/>
      <c r="F387" s="326"/>
    </row>
    <row r="388" spans="1:6" s="6" customFormat="1">
      <c r="C388" s="325"/>
      <c r="D388" s="326"/>
      <c r="E388" s="326"/>
      <c r="F388" s="326"/>
    </row>
    <row r="389" spans="1:6" s="6" customFormat="1" ht="120">
      <c r="A389" s="6" t="s">
        <v>305</v>
      </c>
      <c r="B389" s="6" t="s">
        <v>2466</v>
      </c>
      <c r="C389" s="325"/>
      <c r="D389" s="326"/>
      <c r="E389" s="326"/>
      <c r="F389" s="326"/>
    </row>
    <row r="390" spans="1:6" s="6" customFormat="1" ht="409.5">
      <c r="B390" s="6" t="s">
        <v>1938</v>
      </c>
      <c r="C390" s="325"/>
      <c r="D390" s="326"/>
      <c r="E390" s="326"/>
      <c r="F390" s="326"/>
    </row>
    <row r="391" spans="1:6" s="6" customFormat="1">
      <c r="B391" s="6" t="s">
        <v>75</v>
      </c>
      <c r="C391" s="325" t="s">
        <v>18</v>
      </c>
      <c r="D391" s="326">
        <v>48</v>
      </c>
      <c r="E391" s="326"/>
      <c r="F391" s="326"/>
    </row>
    <row r="392" spans="1:6" s="6" customFormat="1">
      <c r="C392" s="325"/>
      <c r="D392" s="326"/>
      <c r="E392" s="326"/>
      <c r="F392" s="326"/>
    </row>
    <row r="393" spans="1:6" s="6" customFormat="1" ht="135">
      <c r="A393" s="6" t="s">
        <v>306</v>
      </c>
      <c r="B393" s="6" t="s">
        <v>2467</v>
      </c>
      <c r="C393" s="325"/>
      <c r="D393" s="326"/>
      <c r="E393" s="326"/>
      <c r="F393" s="326"/>
    </row>
    <row r="394" spans="1:6" s="6" customFormat="1" ht="330">
      <c r="B394" s="6" t="s">
        <v>1939</v>
      </c>
      <c r="C394" s="325"/>
      <c r="D394" s="326"/>
      <c r="E394" s="326"/>
      <c r="F394" s="326"/>
    </row>
    <row r="395" spans="1:6" s="6" customFormat="1">
      <c r="B395" s="6" t="s">
        <v>75</v>
      </c>
      <c r="C395" s="325" t="s">
        <v>18</v>
      </c>
      <c r="D395" s="326">
        <v>4</v>
      </c>
      <c r="E395" s="326"/>
      <c r="F395" s="326"/>
    </row>
    <row r="396" spans="1:6" s="6" customFormat="1">
      <c r="C396" s="325"/>
      <c r="D396" s="326"/>
      <c r="E396" s="326"/>
      <c r="F396" s="326"/>
    </row>
    <row r="397" spans="1:6" s="6" customFormat="1">
      <c r="C397" s="325"/>
      <c r="D397" s="326"/>
      <c r="E397" s="326"/>
      <c r="F397" s="326"/>
    </row>
    <row r="398" spans="1:6" s="6" customFormat="1" ht="135">
      <c r="A398" s="6" t="s">
        <v>307</v>
      </c>
      <c r="B398" s="6" t="s">
        <v>2468</v>
      </c>
      <c r="C398" s="325"/>
      <c r="D398" s="326"/>
      <c r="E398" s="326"/>
      <c r="F398" s="326"/>
    </row>
    <row r="399" spans="1:6" s="6" customFormat="1" ht="315">
      <c r="B399" s="6" t="s">
        <v>1940</v>
      </c>
      <c r="C399" s="325"/>
      <c r="D399" s="326"/>
      <c r="E399" s="326"/>
      <c r="F399" s="326"/>
    </row>
    <row r="400" spans="1:6" s="6" customFormat="1">
      <c r="B400" s="6" t="s">
        <v>75</v>
      </c>
      <c r="C400" s="325" t="s">
        <v>18</v>
      </c>
      <c r="D400" s="326">
        <v>30</v>
      </c>
      <c r="E400" s="326"/>
      <c r="F400" s="326"/>
    </row>
    <row r="401" spans="1:6" s="6" customFormat="1">
      <c r="C401" s="325"/>
      <c r="D401" s="326"/>
      <c r="E401" s="326"/>
      <c r="F401" s="326"/>
    </row>
    <row r="402" spans="1:6" s="6" customFormat="1" ht="135">
      <c r="A402" s="6" t="s">
        <v>308</v>
      </c>
      <c r="B402" s="6" t="s">
        <v>2469</v>
      </c>
      <c r="C402" s="325"/>
      <c r="D402" s="326"/>
      <c r="E402" s="326"/>
      <c r="F402" s="326"/>
    </row>
    <row r="403" spans="1:6" s="6" customFormat="1" ht="315">
      <c r="B403" s="6" t="s">
        <v>1941</v>
      </c>
      <c r="C403" s="325"/>
      <c r="D403" s="326"/>
      <c r="E403" s="326"/>
      <c r="F403" s="326"/>
    </row>
    <row r="404" spans="1:6" s="6" customFormat="1">
      <c r="B404" s="6" t="s">
        <v>75</v>
      </c>
      <c r="C404" s="325" t="s">
        <v>18</v>
      </c>
      <c r="D404" s="326">
        <v>3</v>
      </c>
      <c r="E404" s="326"/>
      <c r="F404" s="326"/>
    </row>
    <row r="405" spans="1:6" s="6" customFormat="1">
      <c r="C405" s="325"/>
      <c r="D405" s="326"/>
      <c r="E405" s="326"/>
      <c r="F405" s="326"/>
    </row>
    <row r="406" spans="1:6" s="6" customFormat="1" ht="120">
      <c r="A406" s="6" t="s">
        <v>309</v>
      </c>
      <c r="B406" s="6" t="s">
        <v>2470</v>
      </c>
      <c r="C406" s="325"/>
      <c r="D406" s="326"/>
      <c r="E406" s="326"/>
      <c r="F406" s="326"/>
    </row>
    <row r="407" spans="1:6" s="6" customFormat="1" ht="360">
      <c r="B407" s="6" t="s">
        <v>1942</v>
      </c>
      <c r="C407" s="325"/>
      <c r="D407" s="326"/>
      <c r="E407" s="326"/>
      <c r="F407" s="326"/>
    </row>
    <row r="408" spans="1:6" s="6" customFormat="1">
      <c r="B408" s="6" t="s">
        <v>75</v>
      </c>
      <c r="C408" s="325" t="s">
        <v>18</v>
      </c>
      <c r="D408" s="326">
        <v>12</v>
      </c>
      <c r="E408" s="326"/>
      <c r="F408" s="326"/>
    </row>
    <row r="409" spans="1:6" s="6" customFormat="1">
      <c r="C409" s="325"/>
      <c r="D409" s="326"/>
      <c r="E409" s="326"/>
      <c r="F409" s="326"/>
    </row>
    <row r="410" spans="1:6" s="6" customFormat="1" ht="120">
      <c r="A410" s="6" t="s">
        <v>310</v>
      </c>
      <c r="B410" s="6" t="s">
        <v>2471</v>
      </c>
      <c r="C410" s="325"/>
      <c r="D410" s="326"/>
      <c r="E410" s="326"/>
      <c r="F410" s="326"/>
    </row>
    <row r="411" spans="1:6" s="6" customFormat="1" ht="360">
      <c r="B411" s="6" t="s">
        <v>1942</v>
      </c>
      <c r="C411" s="325"/>
      <c r="D411" s="326"/>
      <c r="E411" s="326"/>
      <c r="F411" s="326"/>
    </row>
    <row r="412" spans="1:6" s="6" customFormat="1">
      <c r="B412" s="6" t="s">
        <v>75</v>
      </c>
      <c r="C412" s="325" t="s">
        <v>18</v>
      </c>
      <c r="D412" s="326">
        <v>13</v>
      </c>
      <c r="E412" s="326"/>
      <c r="F412" s="326"/>
    </row>
    <row r="413" spans="1:6" s="6" customFormat="1">
      <c r="C413" s="325"/>
      <c r="D413" s="326"/>
      <c r="E413" s="326"/>
      <c r="F413" s="326"/>
    </row>
    <row r="414" spans="1:6" s="6" customFormat="1" ht="120">
      <c r="A414" s="6" t="s">
        <v>311</v>
      </c>
      <c r="B414" s="6" t="s">
        <v>2472</v>
      </c>
      <c r="C414" s="325"/>
      <c r="D414" s="326"/>
      <c r="E414" s="326"/>
      <c r="F414" s="326"/>
    </row>
    <row r="415" spans="1:6" s="6" customFormat="1" ht="375">
      <c r="B415" s="6" t="s">
        <v>1943</v>
      </c>
      <c r="C415" s="325"/>
      <c r="D415" s="326"/>
      <c r="E415" s="326"/>
      <c r="F415" s="326"/>
    </row>
    <row r="416" spans="1:6" s="6" customFormat="1">
      <c r="B416" s="6" t="s">
        <v>75</v>
      </c>
      <c r="C416" s="325" t="s">
        <v>18</v>
      </c>
      <c r="D416" s="326">
        <v>1</v>
      </c>
      <c r="E416" s="326"/>
      <c r="F416" s="326"/>
    </row>
    <row r="417" spans="1:6" s="6" customFormat="1">
      <c r="C417" s="325"/>
      <c r="D417" s="326"/>
      <c r="E417" s="326"/>
      <c r="F417" s="326"/>
    </row>
    <row r="418" spans="1:6" s="6" customFormat="1" ht="165">
      <c r="A418" s="6" t="s">
        <v>1775</v>
      </c>
      <c r="B418" s="6" t="s">
        <v>1944</v>
      </c>
      <c r="C418" s="325"/>
      <c r="D418" s="326"/>
      <c r="E418" s="326"/>
      <c r="F418" s="326"/>
    </row>
    <row r="419" spans="1:6" s="6" customFormat="1" ht="225">
      <c r="B419" s="6" t="s">
        <v>1945</v>
      </c>
      <c r="C419" s="325"/>
      <c r="D419" s="326"/>
      <c r="E419" s="326"/>
      <c r="F419" s="326"/>
    </row>
    <row r="420" spans="1:6" s="6" customFormat="1">
      <c r="B420" s="6" t="s">
        <v>75</v>
      </c>
      <c r="C420" s="325" t="s">
        <v>18</v>
      </c>
      <c r="D420" s="326">
        <v>1</v>
      </c>
      <c r="E420" s="326"/>
      <c r="F420" s="326"/>
    </row>
    <row r="421" spans="1:6" s="6" customFormat="1">
      <c r="C421" s="325"/>
      <c r="D421" s="326"/>
      <c r="E421" s="326"/>
      <c r="F421" s="326"/>
    </row>
    <row r="422" spans="1:6" s="6" customFormat="1" ht="360">
      <c r="A422" s="6" t="s">
        <v>1778</v>
      </c>
      <c r="B422" s="6" t="s">
        <v>1946</v>
      </c>
      <c r="C422" s="325"/>
      <c r="D422" s="326"/>
      <c r="E422" s="326"/>
      <c r="F422" s="326"/>
    </row>
    <row r="423" spans="1:6" s="6" customFormat="1" ht="409.5">
      <c r="B423" s="6" t="s">
        <v>1947</v>
      </c>
      <c r="C423" s="325"/>
      <c r="D423" s="326"/>
      <c r="E423" s="326"/>
      <c r="F423" s="326"/>
    </row>
    <row r="424" spans="1:6" s="6" customFormat="1">
      <c r="B424" s="6" t="s">
        <v>1948</v>
      </c>
      <c r="C424" s="325"/>
      <c r="D424" s="326"/>
      <c r="E424" s="326"/>
      <c r="F424" s="326"/>
    </row>
    <row r="425" spans="1:6" s="6" customFormat="1">
      <c r="B425" s="6" t="s">
        <v>75</v>
      </c>
      <c r="C425" s="325" t="s">
        <v>18</v>
      </c>
      <c r="D425" s="326">
        <v>12</v>
      </c>
      <c r="E425" s="326"/>
      <c r="F425" s="326"/>
    </row>
    <row r="426" spans="1:6" s="6" customFormat="1">
      <c r="C426" s="325"/>
      <c r="D426" s="326"/>
      <c r="E426" s="326"/>
      <c r="F426" s="326"/>
    </row>
    <row r="427" spans="1:6" s="6" customFormat="1" ht="409.5">
      <c r="A427" s="6" t="s">
        <v>1780</v>
      </c>
      <c r="B427" s="6" t="s">
        <v>1949</v>
      </c>
      <c r="C427" s="325"/>
      <c r="D427" s="326"/>
      <c r="E427" s="326"/>
      <c r="F427" s="326"/>
    </row>
    <row r="428" spans="1:6" s="6" customFormat="1" ht="409.5">
      <c r="B428" s="6" t="s">
        <v>1950</v>
      </c>
      <c r="C428" s="325"/>
      <c r="D428" s="326"/>
      <c r="E428" s="326"/>
      <c r="F428" s="326"/>
    </row>
    <row r="429" spans="1:6" s="6" customFormat="1">
      <c r="B429" s="6" t="s">
        <v>1948</v>
      </c>
      <c r="C429" s="325"/>
      <c r="D429" s="326"/>
      <c r="E429" s="326"/>
      <c r="F429" s="326"/>
    </row>
    <row r="430" spans="1:6" s="6" customFormat="1">
      <c r="B430" s="6" t="s">
        <v>75</v>
      </c>
      <c r="C430" s="325" t="s">
        <v>18</v>
      </c>
      <c r="D430" s="326">
        <v>1</v>
      </c>
      <c r="E430" s="326"/>
      <c r="F430" s="326"/>
    </row>
    <row r="431" spans="1:6" s="6" customFormat="1">
      <c r="C431" s="325"/>
      <c r="D431" s="326"/>
      <c r="E431" s="326"/>
      <c r="F431" s="326"/>
    </row>
    <row r="432" spans="1:6" s="6" customFormat="1" ht="375">
      <c r="A432" s="6" t="s">
        <v>1782</v>
      </c>
      <c r="B432" s="6" t="s">
        <v>1951</v>
      </c>
      <c r="C432" s="325"/>
      <c r="D432" s="326"/>
      <c r="E432" s="326"/>
      <c r="F432" s="326"/>
    </row>
    <row r="433" spans="1:6" s="6" customFormat="1" ht="360">
      <c r="B433" s="6" t="s">
        <v>1952</v>
      </c>
      <c r="C433" s="325"/>
      <c r="D433" s="326"/>
      <c r="E433" s="326"/>
      <c r="F433" s="326"/>
    </row>
    <row r="434" spans="1:6" s="6" customFormat="1">
      <c r="B434" s="6" t="s">
        <v>1948</v>
      </c>
      <c r="C434" s="325"/>
      <c r="D434" s="326"/>
      <c r="E434" s="326"/>
      <c r="F434" s="326"/>
    </row>
    <row r="435" spans="1:6" s="6" customFormat="1">
      <c r="B435" s="6" t="s">
        <v>75</v>
      </c>
      <c r="C435" s="325" t="s">
        <v>18</v>
      </c>
      <c r="D435" s="326">
        <v>6</v>
      </c>
      <c r="E435" s="326"/>
      <c r="F435" s="326"/>
    </row>
    <row r="436" spans="1:6" s="6" customFormat="1">
      <c r="C436" s="325"/>
      <c r="D436" s="326"/>
      <c r="E436" s="326"/>
      <c r="F436" s="326"/>
    </row>
    <row r="437" spans="1:6" s="6" customFormat="1" ht="180">
      <c r="A437" s="6" t="s">
        <v>1785</v>
      </c>
      <c r="B437" s="6" t="s">
        <v>1953</v>
      </c>
      <c r="C437" s="325"/>
      <c r="D437" s="326"/>
      <c r="E437" s="326"/>
      <c r="F437" s="326"/>
    </row>
    <row r="438" spans="1:6" s="6" customFormat="1">
      <c r="B438" s="6" t="s">
        <v>75</v>
      </c>
      <c r="C438" s="325" t="s">
        <v>18</v>
      </c>
      <c r="D438" s="326">
        <v>1</v>
      </c>
      <c r="E438" s="326"/>
      <c r="F438" s="326"/>
    </row>
    <row r="439" spans="1:6" s="6" customFormat="1">
      <c r="C439" s="325"/>
      <c r="D439" s="326"/>
      <c r="E439" s="326"/>
      <c r="F439" s="326"/>
    </row>
    <row r="440" spans="1:6" s="6" customFormat="1">
      <c r="C440" s="325"/>
      <c r="D440" s="326"/>
      <c r="E440" s="326"/>
      <c r="F440" s="326"/>
    </row>
    <row r="441" spans="1:6" s="6" customFormat="1" ht="105">
      <c r="A441" s="6" t="s">
        <v>1787</v>
      </c>
      <c r="B441" s="6" t="s">
        <v>1954</v>
      </c>
      <c r="C441" s="325"/>
      <c r="D441" s="326"/>
      <c r="E441" s="326"/>
      <c r="F441" s="326"/>
    </row>
    <row r="442" spans="1:6" s="6" customFormat="1" ht="30">
      <c r="B442" s="6" t="s">
        <v>1955</v>
      </c>
      <c r="C442" s="325" t="s">
        <v>18</v>
      </c>
      <c r="D442" s="326">
        <v>20</v>
      </c>
      <c r="E442" s="326"/>
      <c r="F442" s="326"/>
    </row>
    <row r="443" spans="1:6" s="6" customFormat="1">
      <c r="C443" s="325"/>
      <c r="D443" s="326"/>
      <c r="E443" s="326"/>
      <c r="F443" s="326"/>
    </row>
    <row r="444" spans="1:6" s="6" customFormat="1">
      <c r="C444" s="325"/>
      <c r="D444" s="326"/>
      <c r="E444" s="326"/>
      <c r="F444" s="326"/>
    </row>
    <row r="445" spans="1:6" s="6" customFormat="1">
      <c r="C445" s="325"/>
      <c r="D445" s="326"/>
      <c r="E445" s="326"/>
      <c r="F445" s="326"/>
    </row>
    <row r="446" spans="1:6" s="6" customFormat="1" ht="30">
      <c r="B446" s="6" t="s">
        <v>1956</v>
      </c>
      <c r="C446" s="325"/>
      <c r="D446" s="326"/>
      <c r="E446" s="326"/>
      <c r="F446" s="326"/>
    </row>
    <row r="447" spans="1:6" s="6" customFormat="1">
      <c r="C447" s="325"/>
      <c r="D447" s="326"/>
      <c r="E447" s="326"/>
      <c r="F447" s="326"/>
    </row>
    <row r="448" spans="1:6" s="6" customFormat="1">
      <c r="C448" s="325"/>
      <c r="D448" s="326"/>
      <c r="E448" s="326"/>
      <c r="F448" s="326"/>
    </row>
    <row r="449" spans="1:7" s="5" customFormat="1">
      <c r="B449" s="5" t="s">
        <v>1957</v>
      </c>
      <c r="C449" s="260"/>
      <c r="D449" s="328"/>
      <c r="E449" s="328"/>
      <c r="F449" s="328"/>
      <c r="G449" s="6"/>
    </row>
    <row r="450" spans="1:7" s="5" customFormat="1">
      <c r="C450" s="260"/>
      <c r="D450" s="328"/>
      <c r="E450" s="328"/>
      <c r="F450" s="326"/>
      <c r="G450" s="6"/>
    </row>
    <row r="451" spans="1:7" s="6" customFormat="1">
      <c r="C451" s="325"/>
      <c r="D451" s="326"/>
      <c r="E451" s="326"/>
      <c r="F451" s="326"/>
    </row>
    <row r="452" spans="1:7" s="317" customFormat="1" ht="30">
      <c r="A452" s="317" t="s">
        <v>2445</v>
      </c>
      <c r="B452" s="317" t="s">
        <v>1958</v>
      </c>
      <c r="C452" s="330"/>
      <c r="D452" s="331"/>
      <c r="E452" s="331"/>
      <c r="F452" s="335"/>
      <c r="G452" s="6"/>
    </row>
    <row r="453" spans="1:7" s="6" customFormat="1">
      <c r="C453" s="325"/>
      <c r="D453" s="326"/>
      <c r="E453" s="326"/>
      <c r="F453" s="326"/>
    </row>
    <row r="454" spans="1:7" s="6" customFormat="1" ht="60">
      <c r="A454" s="6" t="s">
        <v>282</v>
      </c>
      <c r="B454" s="6" t="s">
        <v>1959</v>
      </c>
      <c r="C454" s="325"/>
      <c r="D454" s="326"/>
      <c r="E454" s="326"/>
      <c r="F454" s="326"/>
    </row>
    <row r="455" spans="1:7" s="6" customFormat="1">
      <c r="B455" s="6" t="s">
        <v>1960</v>
      </c>
      <c r="C455" s="325" t="s">
        <v>18</v>
      </c>
      <c r="D455" s="326">
        <v>32</v>
      </c>
      <c r="E455" s="326"/>
      <c r="F455" s="326"/>
    </row>
    <row r="456" spans="1:7" s="6" customFormat="1">
      <c r="B456" s="6" t="s">
        <v>1961</v>
      </c>
      <c r="C456" s="325" t="s">
        <v>18</v>
      </c>
      <c r="D456" s="326">
        <v>5</v>
      </c>
      <c r="E456" s="326"/>
      <c r="F456" s="326"/>
    </row>
    <row r="457" spans="1:7" s="6" customFormat="1">
      <c r="B457" s="6" t="s">
        <v>1962</v>
      </c>
      <c r="C457" s="325" t="s">
        <v>18</v>
      </c>
      <c r="D457" s="326">
        <v>2</v>
      </c>
      <c r="E457" s="326"/>
      <c r="F457" s="326"/>
    </row>
    <row r="458" spans="1:7" s="6" customFormat="1">
      <c r="B458" s="6" t="s">
        <v>1963</v>
      </c>
      <c r="C458" s="325" t="s">
        <v>18</v>
      </c>
      <c r="D458" s="326">
        <v>1</v>
      </c>
      <c r="E458" s="326"/>
      <c r="F458" s="326"/>
    </row>
    <row r="459" spans="1:7" s="6" customFormat="1">
      <c r="B459" s="6" t="s">
        <v>1964</v>
      </c>
      <c r="C459" s="325" t="s">
        <v>18</v>
      </c>
      <c r="D459" s="326">
        <f>D458</f>
        <v>1</v>
      </c>
      <c r="E459" s="326"/>
      <c r="F459" s="326"/>
    </row>
    <row r="460" spans="1:7" s="6" customFormat="1">
      <c r="B460" s="6" t="s">
        <v>1965</v>
      </c>
      <c r="C460" s="325" t="s">
        <v>18</v>
      </c>
      <c r="D460" s="326">
        <v>7</v>
      </c>
      <c r="E460" s="326"/>
      <c r="F460" s="326"/>
    </row>
    <row r="461" spans="1:7" s="6" customFormat="1">
      <c r="B461" s="6" t="s">
        <v>1966</v>
      </c>
      <c r="C461" s="325" t="s">
        <v>18</v>
      </c>
      <c r="D461" s="326">
        <f>D460</f>
        <v>7</v>
      </c>
      <c r="E461" s="326"/>
      <c r="F461" s="326"/>
    </row>
    <row r="462" spans="1:7" s="6" customFormat="1">
      <c r="B462" s="6" t="s">
        <v>1967</v>
      </c>
      <c r="C462" s="325" t="s">
        <v>18</v>
      </c>
      <c r="D462" s="326">
        <v>3</v>
      </c>
      <c r="E462" s="326"/>
      <c r="F462" s="326"/>
    </row>
    <row r="463" spans="1:7" s="6" customFormat="1">
      <c r="B463" s="6" t="s">
        <v>1968</v>
      </c>
      <c r="C463" s="325" t="s">
        <v>18</v>
      </c>
      <c r="D463" s="326">
        <v>1</v>
      </c>
      <c r="E463" s="326"/>
      <c r="F463" s="326"/>
    </row>
    <row r="464" spans="1:7" s="6" customFormat="1">
      <c r="B464" s="6" t="s">
        <v>1969</v>
      </c>
      <c r="C464" s="325" t="s">
        <v>18</v>
      </c>
      <c r="D464" s="326">
        <v>1</v>
      </c>
      <c r="E464" s="326"/>
      <c r="F464" s="326"/>
    </row>
    <row r="465" spans="2:6" s="6" customFormat="1" ht="30">
      <c r="B465" s="6" t="s">
        <v>1970</v>
      </c>
      <c r="C465" s="325" t="s">
        <v>18</v>
      </c>
      <c r="D465" s="326">
        <v>10</v>
      </c>
      <c r="E465" s="326"/>
      <c r="F465" s="326"/>
    </row>
    <row r="466" spans="2:6" s="6" customFormat="1" ht="30">
      <c r="B466" s="6" t="s">
        <v>1971</v>
      </c>
      <c r="C466" s="325" t="s">
        <v>18</v>
      </c>
      <c r="D466" s="326">
        <v>10</v>
      </c>
      <c r="E466" s="326"/>
      <c r="F466" s="326"/>
    </row>
    <row r="467" spans="2:6" s="6" customFormat="1">
      <c r="B467" s="6" t="s">
        <v>1972</v>
      </c>
      <c r="C467" s="325" t="s">
        <v>18</v>
      </c>
      <c r="D467" s="326">
        <v>73</v>
      </c>
      <c r="E467" s="326"/>
      <c r="F467" s="326"/>
    </row>
    <row r="468" spans="2:6" s="6" customFormat="1">
      <c r="B468" s="6" t="s">
        <v>1973</v>
      </c>
      <c r="C468" s="325" t="s">
        <v>18</v>
      </c>
      <c r="D468" s="326">
        <v>27</v>
      </c>
      <c r="E468" s="326"/>
      <c r="F468" s="326"/>
    </row>
    <row r="469" spans="2:6" s="6" customFormat="1">
      <c r="B469" s="6" t="s">
        <v>1974</v>
      </c>
      <c r="C469" s="325" t="s">
        <v>18</v>
      </c>
      <c r="D469" s="326">
        <v>10</v>
      </c>
      <c r="E469" s="326"/>
      <c r="F469" s="326"/>
    </row>
    <row r="470" spans="2:6" s="6" customFormat="1">
      <c r="B470" s="6" t="s">
        <v>1975</v>
      </c>
      <c r="C470" s="325" t="s">
        <v>18</v>
      </c>
      <c r="D470" s="326">
        <f>D469</f>
        <v>10</v>
      </c>
      <c r="E470" s="326"/>
      <c r="F470" s="326"/>
    </row>
    <row r="471" spans="2:6" s="6" customFormat="1">
      <c r="B471" s="6" t="s">
        <v>1976</v>
      </c>
      <c r="C471" s="325" t="s">
        <v>18</v>
      </c>
      <c r="D471" s="326">
        <v>12</v>
      </c>
      <c r="E471" s="326"/>
      <c r="F471" s="326"/>
    </row>
    <row r="472" spans="2:6" s="6" customFormat="1">
      <c r="B472" s="6" t="s">
        <v>1977</v>
      </c>
      <c r="C472" s="325" t="s">
        <v>18</v>
      </c>
      <c r="D472" s="326">
        <f>D471</f>
        <v>12</v>
      </c>
      <c r="E472" s="326"/>
      <c r="F472" s="326"/>
    </row>
    <row r="473" spans="2:6" s="6" customFormat="1">
      <c r="B473" s="6" t="s">
        <v>1976</v>
      </c>
      <c r="C473" s="325" t="s">
        <v>18</v>
      </c>
      <c r="D473" s="326">
        <v>4</v>
      </c>
      <c r="E473" s="326"/>
      <c r="F473" s="326"/>
    </row>
    <row r="474" spans="2:6" s="6" customFormat="1">
      <c r="B474" s="6" t="s">
        <v>1978</v>
      </c>
      <c r="C474" s="325" t="s">
        <v>18</v>
      </c>
      <c r="D474" s="326">
        <f>D473/2</f>
        <v>2</v>
      </c>
      <c r="E474" s="326"/>
      <c r="F474" s="326"/>
    </row>
    <row r="475" spans="2:6" s="6" customFormat="1">
      <c r="B475" s="6" t="s">
        <v>1979</v>
      </c>
      <c r="C475" s="325" t="s">
        <v>18</v>
      </c>
      <c r="D475" s="326">
        <v>6</v>
      </c>
      <c r="E475" s="326"/>
      <c r="F475" s="326"/>
    </row>
    <row r="476" spans="2:6" s="6" customFormat="1">
      <c r="B476" s="6" t="s">
        <v>1980</v>
      </c>
      <c r="C476" s="325" t="s">
        <v>18</v>
      </c>
      <c r="D476" s="326">
        <v>3</v>
      </c>
      <c r="E476" s="326"/>
      <c r="F476" s="326"/>
    </row>
    <row r="477" spans="2:6" s="6" customFormat="1" ht="30">
      <c r="B477" s="6" t="s">
        <v>1981</v>
      </c>
      <c r="C477" s="325" t="s">
        <v>18</v>
      </c>
      <c r="D477" s="326">
        <v>2</v>
      </c>
      <c r="E477" s="326"/>
      <c r="F477" s="326"/>
    </row>
    <row r="478" spans="2:6" s="6" customFormat="1">
      <c r="B478" s="6" t="s">
        <v>1982</v>
      </c>
      <c r="C478" s="325" t="s">
        <v>18</v>
      </c>
      <c r="D478" s="326">
        <v>2</v>
      </c>
      <c r="E478" s="326"/>
      <c r="F478" s="326"/>
    </row>
    <row r="479" spans="2:6" s="6" customFormat="1" ht="30">
      <c r="B479" s="6" t="s">
        <v>1983</v>
      </c>
      <c r="C479" s="325" t="s">
        <v>18</v>
      </c>
      <c r="D479" s="326">
        <v>2</v>
      </c>
      <c r="E479" s="326"/>
      <c r="F479" s="326"/>
    </row>
    <row r="480" spans="2:6" s="6" customFormat="1" ht="30">
      <c r="B480" s="6" t="s">
        <v>1984</v>
      </c>
      <c r="C480" s="325" t="s">
        <v>18</v>
      </c>
      <c r="D480" s="326">
        <v>2</v>
      </c>
      <c r="E480" s="326"/>
      <c r="F480" s="326"/>
    </row>
    <row r="481" spans="1:6" s="6" customFormat="1" ht="30">
      <c r="B481" s="6" t="s">
        <v>1985</v>
      </c>
      <c r="C481" s="325" t="s">
        <v>18</v>
      </c>
      <c r="D481" s="326">
        <v>1</v>
      </c>
      <c r="E481" s="326"/>
      <c r="F481" s="326"/>
    </row>
    <row r="482" spans="1:6" s="6" customFormat="1" ht="30">
      <c r="B482" s="6" t="s">
        <v>1986</v>
      </c>
      <c r="C482" s="325" t="s">
        <v>18</v>
      </c>
      <c r="D482" s="326">
        <v>1</v>
      </c>
      <c r="E482" s="326"/>
      <c r="F482" s="326"/>
    </row>
    <row r="483" spans="1:6" s="6" customFormat="1" ht="30">
      <c r="B483" s="6" t="s">
        <v>1987</v>
      </c>
      <c r="C483" s="325" t="s">
        <v>18</v>
      </c>
      <c r="D483" s="326">
        <v>1</v>
      </c>
      <c r="E483" s="326"/>
      <c r="F483" s="326"/>
    </row>
    <row r="484" spans="1:6" s="6" customFormat="1" ht="30">
      <c r="B484" s="6" t="s">
        <v>1988</v>
      </c>
      <c r="C484" s="325" t="s">
        <v>18</v>
      </c>
      <c r="D484" s="326">
        <v>1</v>
      </c>
      <c r="E484" s="326"/>
      <c r="F484" s="326"/>
    </row>
    <row r="485" spans="1:6" s="6" customFormat="1">
      <c r="C485" s="325"/>
      <c r="D485" s="326"/>
      <c r="E485" s="326"/>
      <c r="F485" s="326"/>
    </row>
    <row r="486" spans="1:6" s="6" customFormat="1">
      <c r="C486" s="325"/>
      <c r="D486" s="326"/>
      <c r="E486" s="326"/>
      <c r="F486" s="326"/>
    </row>
    <row r="487" spans="1:6" s="6" customFormat="1" ht="60">
      <c r="A487" s="6" t="s">
        <v>294</v>
      </c>
      <c r="B487" s="6" t="s">
        <v>1989</v>
      </c>
      <c r="C487" s="325" t="s">
        <v>18</v>
      </c>
      <c r="D487" s="326">
        <v>9</v>
      </c>
      <c r="E487" s="326"/>
      <c r="F487" s="326"/>
    </row>
    <row r="488" spans="1:6" s="6" customFormat="1">
      <c r="C488" s="325"/>
      <c r="D488" s="326"/>
      <c r="E488" s="326"/>
      <c r="F488" s="326"/>
    </row>
    <row r="489" spans="1:6" s="6" customFormat="1" ht="60">
      <c r="A489" s="6" t="s">
        <v>288</v>
      </c>
      <c r="B489" s="6" t="s">
        <v>1990</v>
      </c>
      <c r="C489" s="325" t="s">
        <v>283</v>
      </c>
      <c r="D489" s="326">
        <v>2</v>
      </c>
      <c r="E489" s="326"/>
      <c r="F489" s="326"/>
    </row>
    <row r="490" spans="1:6" s="6" customFormat="1">
      <c r="C490" s="325"/>
      <c r="D490" s="326"/>
      <c r="E490" s="326"/>
      <c r="F490" s="326"/>
    </row>
    <row r="491" spans="1:6" s="6" customFormat="1" ht="30">
      <c r="A491" s="6" t="s">
        <v>281</v>
      </c>
      <c r="B491" s="6" t="s">
        <v>1991</v>
      </c>
      <c r="C491" s="325" t="s">
        <v>18</v>
      </c>
      <c r="D491" s="326">
        <v>60</v>
      </c>
      <c r="E491" s="326"/>
      <c r="F491" s="326"/>
    </row>
    <row r="492" spans="1:6" s="6" customFormat="1">
      <c r="C492" s="325"/>
      <c r="D492" s="326"/>
      <c r="E492" s="326"/>
      <c r="F492" s="326"/>
    </row>
    <row r="493" spans="1:6" s="6" customFormat="1" ht="30">
      <c r="A493" s="6" t="s">
        <v>293</v>
      </c>
      <c r="B493" s="6" t="s">
        <v>1992</v>
      </c>
      <c r="C493" s="325" t="s">
        <v>18</v>
      </c>
      <c r="D493" s="326">
        <v>250</v>
      </c>
      <c r="E493" s="326"/>
      <c r="F493" s="326"/>
    </row>
    <row r="494" spans="1:6" s="6" customFormat="1">
      <c r="C494" s="325"/>
      <c r="D494" s="326"/>
      <c r="E494" s="326"/>
      <c r="F494" s="326"/>
    </row>
    <row r="495" spans="1:6" s="6" customFormat="1" ht="30">
      <c r="A495" s="6" t="s">
        <v>300</v>
      </c>
      <c r="B495" s="6" t="s">
        <v>1993</v>
      </c>
      <c r="C495" s="325"/>
      <c r="D495" s="326"/>
      <c r="E495" s="326"/>
      <c r="F495" s="326"/>
    </row>
    <row r="496" spans="1:6" s="6" customFormat="1">
      <c r="B496" s="6" t="s">
        <v>1994</v>
      </c>
      <c r="C496" s="325" t="s">
        <v>18</v>
      </c>
      <c r="D496" s="326">
        <v>90</v>
      </c>
      <c r="E496" s="326"/>
      <c r="F496" s="326"/>
    </row>
    <row r="497" spans="1:7" s="6" customFormat="1">
      <c r="B497" s="6" t="s">
        <v>1995</v>
      </c>
      <c r="C497" s="325" t="s">
        <v>18</v>
      </c>
      <c r="D497" s="326">
        <v>9</v>
      </c>
      <c r="E497" s="326"/>
      <c r="F497" s="326"/>
    </row>
    <row r="498" spans="1:7" s="6" customFormat="1">
      <c r="C498" s="325"/>
      <c r="D498" s="326"/>
      <c r="E498" s="326"/>
      <c r="F498" s="326"/>
    </row>
    <row r="499" spans="1:7" s="6" customFormat="1" ht="90">
      <c r="A499" s="6" t="s">
        <v>301</v>
      </c>
      <c r="B499" s="6" t="s">
        <v>1996</v>
      </c>
      <c r="C499" s="325" t="s">
        <v>674</v>
      </c>
      <c r="D499" s="326">
        <v>1</v>
      </c>
      <c r="E499" s="326"/>
      <c r="F499" s="326"/>
    </row>
    <row r="500" spans="1:7" s="6" customFormat="1">
      <c r="C500" s="325"/>
      <c r="D500" s="326"/>
      <c r="E500" s="326"/>
      <c r="F500" s="326"/>
    </row>
    <row r="501" spans="1:7" s="6" customFormat="1" ht="75">
      <c r="A501" s="6" t="s">
        <v>302</v>
      </c>
      <c r="B501" s="6" t="s">
        <v>1997</v>
      </c>
      <c r="C501" s="325" t="s">
        <v>18</v>
      </c>
      <c r="D501" s="326">
        <v>15</v>
      </c>
      <c r="E501" s="326"/>
      <c r="F501" s="326"/>
    </row>
    <row r="502" spans="1:7" s="6" customFormat="1">
      <c r="C502" s="325"/>
      <c r="D502" s="326"/>
      <c r="E502" s="326"/>
      <c r="F502" s="326"/>
    </row>
    <row r="503" spans="1:7" s="6" customFormat="1">
      <c r="C503" s="325"/>
      <c r="D503" s="326"/>
      <c r="E503" s="326"/>
      <c r="F503" s="326"/>
    </row>
    <row r="504" spans="1:7" s="6" customFormat="1">
      <c r="C504" s="325"/>
      <c r="D504" s="326"/>
      <c r="E504" s="326"/>
      <c r="F504" s="326"/>
    </row>
    <row r="505" spans="1:7" s="5" customFormat="1" ht="30">
      <c r="B505" s="5" t="s">
        <v>1998</v>
      </c>
      <c r="C505" s="260"/>
      <c r="D505" s="328"/>
      <c r="E505" s="328"/>
      <c r="F505" s="328"/>
      <c r="G505" s="327"/>
    </row>
    <row r="506" spans="1:7" s="6" customFormat="1">
      <c r="C506" s="325"/>
      <c r="D506" s="326"/>
      <c r="E506" s="326"/>
      <c r="F506" s="326"/>
    </row>
    <row r="507" spans="1:7" s="6" customFormat="1">
      <c r="C507" s="325"/>
      <c r="D507" s="326"/>
      <c r="E507" s="326"/>
      <c r="F507" s="326"/>
    </row>
    <row r="508" spans="1:7" s="317" customFormat="1">
      <c r="A508" s="317" t="s">
        <v>2446</v>
      </c>
      <c r="B508" s="317" t="s">
        <v>1999</v>
      </c>
      <c r="C508" s="330"/>
      <c r="D508" s="331"/>
      <c r="E508" s="331"/>
      <c r="F508" s="335"/>
      <c r="G508" s="6"/>
    </row>
    <row r="509" spans="1:7" s="6" customFormat="1">
      <c r="C509" s="325"/>
      <c r="D509" s="326"/>
      <c r="E509" s="326"/>
      <c r="F509" s="326"/>
    </row>
    <row r="510" spans="1:7" s="6" customFormat="1">
      <c r="C510" s="325"/>
      <c r="D510" s="326"/>
      <c r="E510" s="326"/>
      <c r="F510" s="326"/>
    </row>
    <row r="511" spans="1:7" s="6" customFormat="1" ht="45">
      <c r="A511" s="6" t="s">
        <v>282</v>
      </c>
      <c r="B511" s="6" t="s">
        <v>2000</v>
      </c>
      <c r="C511" s="325"/>
      <c r="D511" s="326"/>
      <c r="E511" s="326"/>
      <c r="F511" s="326"/>
    </row>
    <row r="512" spans="1:7" s="6" customFormat="1">
      <c r="B512" s="6" t="s">
        <v>2001</v>
      </c>
      <c r="C512" s="325" t="s">
        <v>280</v>
      </c>
      <c r="D512" s="326">
        <v>10</v>
      </c>
      <c r="E512" s="326"/>
      <c r="F512" s="326"/>
    </row>
    <row r="513" spans="2:6" s="6" customFormat="1">
      <c r="B513" s="6" t="s">
        <v>2002</v>
      </c>
      <c r="C513" s="325" t="s">
        <v>280</v>
      </c>
      <c r="D513" s="326">
        <v>20</v>
      </c>
      <c r="E513" s="326"/>
      <c r="F513" s="326"/>
    </row>
    <row r="514" spans="2:6" s="6" customFormat="1">
      <c r="B514" s="6" t="s">
        <v>2003</v>
      </c>
      <c r="C514" s="325" t="s">
        <v>280</v>
      </c>
      <c r="D514" s="326">
        <v>15</v>
      </c>
      <c r="E514" s="326"/>
      <c r="F514" s="326"/>
    </row>
    <row r="515" spans="2:6" s="6" customFormat="1">
      <c r="B515" s="6" t="s">
        <v>2004</v>
      </c>
      <c r="C515" s="325" t="s">
        <v>280</v>
      </c>
      <c r="D515" s="326">
        <v>40</v>
      </c>
      <c r="E515" s="326"/>
      <c r="F515" s="326"/>
    </row>
    <row r="516" spans="2:6" s="6" customFormat="1">
      <c r="B516" s="6" t="s">
        <v>2005</v>
      </c>
      <c r="C516" s="325" t="s">
        <v>280</v>
      </c>
      <c r="D516" s="326">
        <v>250</v>
      </c>
      <c r="E516" s="326"/>
      <c r="F516" s="326"/>
    </row>
    <row r="517" spans="2:6" s="6" customFormat="1">
      <c r="B517" s="6" t="s">
        <v>2006</v>
      </c>
      <c r="C517" s="325" t="s">
        <v>280</v>
      </c>
      <c r="D517" s="326">
        <v>15</v>
      </c>
      <c r="E517" s="326"/>
      <c r="F517" s="326"/>
    </row>
    <row r="518" spans="2:6" s="6" customFormat="1">
      <c r="B518" s="6" t="s">
        <v>2007</v>
      </c>
      <c r="C518" s="325" t="s">
        <v>280</v>
      </c>
      <c r="D518" s="326">
        <v>30</v>
      </c>
      <c r="E518" s="326"/>
      <c r="F518" s="326"/>
    </row>
    <row r="519" spans="2:6" s="6" customFormat="1">
      <c r="B519" s="6" t="s">
        <v>2008</v>
      </c>
      <c r="C519" s="325" t="s">
        <v>280</v>
      </c>
      <c r="D519" s="326">
        <v>15</v>
      </c>
      <c r="E519" s="326"/>
      <c r="F519" s="326"/>
    </row>
    <row r="520" spans="2:6" s="6" customFormat="1">
      <c r="B520" s="6" t="s">
        <v>2009</v>
      </c>
      <c r="C520" s="325" t="s">
        <v>280</v>
      </c>
      <c r="D520" s="326">
        <v>45</v>
      </c>
      <c r="E520" s="326"/>
      <c r="F520" s="326"/>
    </row>
    <row r="521" spans="2:6" s="6" customFormat="1">
      <c r="B521" s="6" t="s">
        <v>2010</v>
      </c>
      <c r="C521" s="325" t="s">
        <v>280</v>
      </c>
      <c r="D521" s="326">
        <v>200</v>
      </c>
      <c r="E521" s="326"/>
      <c r="F521" s="326"/>
    </row>
    <row r="522" spans="2:6" s="6" customFormat="1">
      <c r="B522" s="6" t="s">
        <v>2011</v>
      </c>
      <c r="C522" s="325" t="s">
        <v>280</v>
      </c>
      <c r="D522" s="326">
        <v>240</v>
      </c>
      <c r="E522" s="326"/>
      <c r="F522" s="326"/>
    </row>
    <row r="523" spans="2:6" s="6" customFormat="1">
      <c r="B523" s="6" t="s">
        <v>2012</v>
      </c>
      <c r="C523" s="325" t="s">
        <v>280</v>
      </c>
      <c r="D523" s="326">
        <v>3000</v>
      </c>
      <c r="E523" s="326"/>
      <c r="F523" s="326"/>
    </row>
    <row r="524" spans="2:6" s="6" customFormat="1">
      <c r="B524" s="6" t="s">
        <v>2013</v>
      </c>
      <c r="C524" s="325" t="s">
        <v>280</v>
      </c>
      <c r="D524" s="326">
        <v>3500</v>
      </c>
      <c r="E524" s="326"/>
      <c r="F524" s="326"/>
    </row>
    <row r="525" spans="2:6" s="6" customFormat="1">
      <c r="B525" s="6" t="s">
        <v>2014</v>
      </c>
      <c r="C525" s="325" t="s">
        <v>280</v>
      </c>
      <c r="D525" s="326">
        <v>45</v>
      </c>
      <c r="E525" s="326"/>
      <c r="F525" s="326"/>
    </row>
    <row r="526" spans="2:6" s="6" customFormat="1">
      <c r="B526" s="6" t="s">
        <v>2015</v>
      </c>
      <c r="C526" s="325" t="s">
        <v>280</v>
      </c>
      <c r="D526" s="326">
        <v>1200</v>
      </c>
      <c r="E526" s="326"/>
      <c r="F526" s="326"/>
    </row>
    <row r="527" spans="2:6" s="6" customFormat="1">
      <c r="B527" s="6" t="s">
        <v>2016</v>
      </c>
      <c r="C527" s="325" t="s">
        <v>280</v>
      </c>
      <c r="D527" s="326">
        <v>500</v>
      </c>
      <c r="E527" s="326"/>
      <c r="F527" s="326"/>
    </row>
    <row r="528" spans="2:6" s="6" customFormat="1">
      <c r="B528" s="6" t="s">
        <v>2017</v>
      </c>
      <c r="C528" s="325" t="s">
        <v>280</v>
      </c>
      <c r="D528" s="326">
        <v>150</v>
      </c>
      <c r="E528" s="326"/>
      <c r="F528" s="326"/>
    </row>
    <row r="529" spans="2:6" s="6" customFormat="1">
      <c r="B529" s="6" t="s">
        <v>2018</v>
      </c>
      <c r="C529" s="325" t="s">
        <v>280</v>
      </c>
      <c r="D529" s="326">
        <v>150</v>
      </c>
      <c r="E529" s="326"/>
      <c r="F529" s="326"/>
    </row>
    <row r="530" spans="2:6" s="6" customFormat="1">
      <c r="B530" s="6" t="s">
        <v>2019</v>
      </c>
      <c r="C530" s="325" t="s">
        <v>280</v>
      </c>
      <c r="D530" s="326">
        <v>15</v>
      </c>
      <c r="E530" s="326"/>
      <c r="F530" s="326"/>
    </row>
    <row r="531" spans="2:6" s="6" customFormat="1">
      <c r="B531" s="6" t="s">
        <v>2020</v>
      </c>
      <c r="C531" s="325" t="s">
        <v>280</v>
      </c>
      <c r="D531" s="326">
        <v>575</v>
      </c>
      <c r="E531" s="326"/>
      <c r="F531" s="326"/>
    </row>
    <row r="532" spans="2:6" s="6" customFormat="1">
      <c r="B532" s="6" t="s">
        <v>2021</v>
      </c>
      <c r="C532" s="325" t="s">
        <v>280</v>
      </c>
      <c r="D532" s="326">
        <v>60</v>
      </c>
      <c r="E532" s="326"/>
      <c r="F532" s="326"/>
    </row>
    <row r="533" spans="2:6" s="6" customFormat="1">
      <c r="B533" s="6" t="s">
        <v>2022</v>
      </c>
      <c r="C533" s="325" t="s">
        <v>280</v>
      </c>
      <c r="D533" s="326">
        <v>300</v>
      </c>
      <c r="E533" s="326"/>
      <c r="F533" s="326"/>
    </row>
    <row r="534" spans="2:6" s="6" customFormat="1">
      <c r="B534" s="6" t="s">
        <v>2023</v>
      </c>
      <c r="C534" s="325" t="s">
        <v>280</v>
      </c>
      <c r="D534" s="326">
        <v>1500</v>
      </c>
      <c r="E534" s="326"/>
      <c r="F534" s="326"/>
    </row>
    <row r="535" spans="2:6" s="6" customFormat="1">
      <c r="B535" s="6" t="s">
        <v>2024</v>
      </c>
      <c r="C535" s="325" t="s">
        <v>280</v>
      </c>
      <c r="D535" s="326">
        <v>120</v>
      </c>
      <c r="E535" s="326"/>
      <c r="F535" s="326"/>
    </row>
    <row r="536" spans="2:6" s="6" customFormat="1">
      <c r="B536" s="6" t="s">
        <v>2025</v>
      </c>
      <c r="C536" s="325" t="s">
        <v>280</v>
      </c>
      <c r="D536" s="326">
        <v>200</v>
      </c>
      <c r="E536" s="326"/>
      <c r="F536" s="326"/>
    </row>
    <row r="537" spans="2:6" s="6" customFormat="1">
      <c r="B537" s="6" t="s">
        <v>2026</v>
      </c>
      <c r="C537" s="325" t="s">
        <v>280</v>
      </c>
      <c r="D537" s="326">
        <v>600</v>
      </c>
      <c r="E537" s="326"/>
      <c r="F537" s="326"/>
    </row>
    <row r="538" spans="2:6" s="6" customFormat="1">
      <c r="B538" s="6" t="s">
        <v>2027</v>
      </c>
      <c r="C538" s="325" t="s">
        <v>280</v>
      </c>
      <c r="D538" s="326">
        <v>600</v>
      </c>
      <c r="E538" s="326"/>
      <c r="F538" s="326"/>
    </row>
    <row r="539" spans="2:6" s="6" customFormat="1">
      <c r="B539" s="6" t="s">
        <v>2028</v>
      </c>
      <c r="C539" s="325" t="s">
        <v>280</v>
      </c>
      <c r="D539" s="326">
        <v>1500</v>
      </c>
      <c r="E539" s="326"/>
      <c r="F539" s="326"/>
    </row>
    <row r="540" spans="2:6" s="6" customFormat="1">
      <c r="B540" s="6" t="s">
        <v>2029</v>
      </c>
      <c r="C540" s="325" t="s">
        <v>280</v>
      </c>
      <c r="D540" s="326">
        <v>90</v>
      </c>
      <c r="E540" s="326"/>
      <c r="F540" s="326"/>
    </row>
    <row r="541" spans="2:6" s="6" customFormat="1">
      <c r="B541" s="6" t="s">
        <v>2030</v>
      </c>
      <c r="C541" s="325" t="s">
        <v>280</v>
      </c>
      <c r="D541" s="326">
        <v>400</v>
      </c>
      <c r="E541" s="326"/>
      <c r="F541" s="326"/>
    </row>
    <row r="542" spans="2:6" s="6" customFormat="1">
      <c r="B542" s="6" t="s">
        <v>2031</v>
      </c>
      <c r="C542" s="325" t="s">
        <v>280</v>
      </c>
      <c r="D542" s="326">
        <v>200</v>
      </c>
      <c r="E542" s="326"/>
      <c r="F542" s="326"/>
    </row>
    <row r="543" spans="2:6" s="6" customFormat="1">
      <c r="B543" s="6" t="s">
        <v>2032</v>
      </c>
      <c r="C543" s="325" t="s">
        <v>280</v>
      </c>
      <c r="D543" s="326">
        <v>300</v>
      </c>
      <c r="E543" s="326"/>
      <c r="F543" s="326"/>
    </row>
    <row r="544" spans="2:6" s="6" customFormat="1">
      <c r="B544" s="6" t="s">
        <v>2033</v>
      </c>
      <c r="C544" s="325" t="s">
        <v>280</v>
      </c>
      <c r="D544" s="326">
        <v>600</v>
      </c>
      <c r="E544" s="326"/>
      <c r="F544" s="326"/>
    </row>
    <row r="545" spans="1:6" s="6" customFormat="1">
      <c r="B545" s="6" t="s">
        <v>2034</v>
      </c>
      <c r="C545" s="325" t="s">
        <v>280</v>
      </c>
      <c r="D545" s="326">
        <v>120</v>
      </c>
      <c r="E545" s="326"/>
      <c r="F545" s="326"/>
    </row>
    <row r="546" spans="1:6" s="6" customFormat="1">
      <c r="B546" s="6" t="s">
        <v>2035</v>
      </c>
      <c r="C546" s="325" t="s">
        <v>280</v>
      </c>
      <c r="D546" s="326">
        <v>120</v>
      </c>
      <c r="E546" s="326"/>
      <c r="F546" s="326"/>
    </row>
    <row r="547" spans="1:6" s="6" customFormat="1">
      <c r="B547" s="6" t="s">
        <v>2036</v>
      </c>
      <c r="C547" s="325" t="s">
        <v>280</v>
      </c>
      <c r="D547" s="326">
        <v>1700</v>
      </c>
      <c r="E547" s="326"/>
      <c r="F547" s="326"/>
    </row>
    <row r="548" spans="1:6" s="6" customFormat="1">
      <c r="B548" s="6" t="s">
        <v>2037</v>
      </c>
      <c r="C548" s="325" t="s">
        <v>280</v>
      </c>
      <c r="D548" s="326">
        <v>250</v>
      </c>
      <c r="E548" s="326"/>
      <c r="F548" s="326"/>
    </row>
    <row r="549" spans="1:6" s="6" customFormat="1">
      <c r="B549" s="6" t="s">
        <v>2038</v>
      </c>
      <c r="C549" s="325" t="s">
        <v>280</v>
      </c>
      <c r="D549" s="326">
        <v>600</v>
      </c>
      <c r="E549" s="326"/>
      <c r="F549" s="326"/>
    </row>
    <row r="550" spans="1:6" s="6" customFormat="1">
      <c r="B550" s="6" t="s">
        <v>2039</v>
      </c>
      <c r="C550" s="325" t="s">
        <v>280</v>
      </c>
      <c r="D550" s="326">
        <v>15</v>
      </c>
      <c r="E550" s="326"/>
      <c r="F550" s="326"/>
    </row>
    <row r="551" spans="1:6" s="6" customFormat="1">
      <c r="B551" s="6" t="s">
        <v>2040</v>
      </c>
      <c r="C551" s="325" t="s">
        <v>280</v>
      </c>
      <c r="D551" s="326">
        <v>600</v>
      </c>
      <c r="E551" s="326"/>
      <c r="F551" s="326"/>
    </row>
    <row r="552" spans="1:6" s="6" customFormat="1">
      <c r="B552" s="6" t="s">
        <v>2041</v>
      </c>
      <c r="C552" s="325" t="s">
        <v>280</v>
      </c>
      <c r="D552" s="326">
        <v>250</v>
      </c>
      <c r="E552" s="326"/>
      <c r="F552" s="326"/>
    </row>
    <row r="553" spans="1:6" s="6" customFormat="1">
      <c r="C553" s="325"/>
      <c r="D553" s="326"/>
      <c r="E553" s="326"/>
      <c r="F553" s="326"/>
    </row>
    <row r="554" spans="1:6" s="6" customFormat="1">
      <c r="C554" s="325"/>
      <c r="D554" s="326"/>
      <c r="E554" s="326"/>
      <c r="F554" s="326"/>
    </row>
    <row r="555" spans="1:6" s="6" customFormat="1">
      <c r="A555" s="6" t="s">
        <v>294</v>
      </c>
      <c r="B555" s="6" t="s">
        <v>2042</v>
      </c>
      <c r="C555" s="325"/>
      <c r="D555" s="326"/>
      <c r="E555" s="326"/>
      <c r="F555" s="326"/>
    </row>
    <row r="556" spans="1:6" s="6" customFormat="1">
      <c r="B556" s="6" t="s">
        <v>2043</v>
      </c>
      <c r="C556" s="325" t="s">
        <v>280</v>
      </c>
      <c r="D556" s="326">
        <f>(D538+D541+D542+D543+D544+D545+D546)*0.25</f>
        <v>585</v>
      </c>
      <c r="E556" s="326"/>
      <c r="F556" s="326"/>
    </row>
    <row r="557" spans="1:6" s="6" customFormat="1">
      <c r="B557" s="6" t="s">
        <v>2044</v>
      </c>
      <c r="C557" s="325" t="s">
        <v>280</v>
      </c>
      <c r="D557" s="326">
        <f>(D524+D526+D527+D528+D529+D531+D534+D537+D533+D535+D536+D539+D540+D538+D547)*0.25+53.75</f>
        <v>3225</v>
      </c>
      <c r="E557" s="326"/>
      <c r="F557" s="326"/>
    </row>
    <row r="558" spans="1:6" s="6" customFormat="1">
      <c r="B558" s="6" t="s">
        <v>2045</v>
      </c>
      <c r="C558" s="325" t="s">
        <v>280</v>
      </c>
      <c r="D558" s="326">
        <f>(D520+D521+D523+D532+D548+D552+D522+D525)*0.25+7.5</f>
        <v>1030</v>
      </c>
      <c r="E558" s="326"/>
      <c r="F558" s="326"/>
    </row>
    <row r="559" spans="1:6" s="6" customFormat="1">
      <c r="B559" s="6" t="s">
        <v>2046</v>
      </c>
      <c r="C559" s="325" t="s">
        <v>280</v>
      </c>
      <c r="D559" s="326">
        <v>1000</v>
      </c>
      <c r="E559" s="326"/>
      <c r="F559" s="326"/>
    </row>
    <row r="560" spans="1:6" s="6" customFormat="1">
      <c r="B560" s="6" t="s">
        <v>2047</v>
      </c>
      <c r="C560" s="325" t="s">
        <v>280</v>
      </c>
      <c r="D560" s="326">
        <v>200</v>
      </c>
      <c r="E560" s="326"/>
      <c r="F560" s="326"/>
    </row>
    <row r="561" spans="1:6" s="6" customFormat="1">
      <c r="B561" s="6" t="s">
        <v>2048</v>
      </c>
      <c r="C561" s="325" t="s">
        <v>280</v>
      </c>
      <c r="D561" s="326">
        <v>200</v>
      </c>
      <c r="E561" s="326"/>
      <c r="F561" s="326"/>
    </row>
    <row r="562" spans="1:6" s="6" customFormat="1">
      <c r="B562" s="6" t="s">
        <v>2049</v>
      </c>
      <c r="C562" s="325" t="s">
        <v>280</v>
      </c>
      <c r="D562" s="326">
        <v>200</v>
      </c>
      <c r="E562" s="326"/>
      <c r="F562" s="326"/>
    </row>
    <row r="563" spans="1:6" s="6" customFormat="1">
      <c r="C563" s="325"/>
      <c r="D563" s="326"/>
      <c r="E563" s="326"/>
      <c r="F563" s="326"/>
    </row>
    <row r="564" spans="1:6" s="6" customFormat="1">
      <c r="A564" s="6" t="s">
        <v>288</v>
      </c>
      <c r="B564" s="6" t="s">
        <v>2050</v>
      </c>
      <c r="C564" s="325"/>
      <c r="D564" s="326"/>
      <c r="E564" s="326"/>
      <c r="F564" s="326"/>
    </row>
    <row r="565" spans="1:6" s="6" customFormat="1">
      <c r="B565" s="6" t="s">
        <v>2051</v>
      </c>
      <c r="C565" s="325" t="s">
        <v>280</v>
      </c>
      <c r="D565" s="326">
        <v>150</v>
      </c>
      <c r="E565" s="326"/>
      <c r="F565" s="326"/>
    </row>
    <row r="566" spans="1:6" s="6" customFormat="1">
      <c r="B566" s="6" t="s">
        <v>2052</v>
      </c>
      <c r="C566" s="325" t="s">
        <v>280</v>
      </c>
      <c r="D566" s="326">
        <v>150</v>
      </c>
      <c r="E566" s="326"/>
      <c r="F566" s="326"/>
    </row>
    <row r="567" spans="1:6" s="6" customFormat="1">
      <c r="C567" s="325"/>
      <c r="D567" s="326"/>
      <c r="E567" s="326"/>
      <c r="F567" s="326"/>
    </row>
    <row r="568" spans="1:6" s="6" customFormat="1">
      <c r="A568" s="6" t="s">
        <v>281</v>
      </c>
      <c r="B568" s="6" t="s">
        <v>2053</v>
      </c>
      <c r="C568" s="325"/>
      <c r="D568" s="326"/>
      <c r="E568" s="326"/>
      <c r="F568" s="326"/>
    </row>
    <row r="569" spans="1:6" s="6" customFormat="1" ht="30">
      <c r="B569" s="6" t="s">
        <v>2054</v>
      </c>
      <c r="C569" s="325" t="s">
        <v>280</v>
      </c>
      <c r="D569" s="326">
        <v>120</v>
      </c>
      <c r="E569" s="326"/>
      <c r="F569" s="326"/>
    </row>
    <row r="570" spans="1:6" s="6" customFormat="1" ht="30">
      <c r="B570" s="6" t="s">
        <v>2055</v>
      </c>
      <c r="C570" s="325" t="s">
        <v>280</v>
      </c>
      <c r="D570" s="326">
        <v>200</v>
      </c>
      <c r="E570" s="326"/>
      <c r="F570" s="326"/>
    </row>
    <row r="571" spans="1:6" s="6" customFormat="1" ht="30">
      <c r="B571" s="6" t="s">
        <v>2056</v>
      </c>
      <c r="C571" s="325" t="s">
        <v>280</v>
      </c>
      <c r="D571" s="326">
        <v>120</v>
      </c>
      <c r="E571" s="326"/>
      <c r="F571" s="326"/>
    </row>
    <row r="572" spans="1:6" s="6" customFormat="1" ht="30">
      <c r="B572" s="6" t="s">
        <v>2057</v>
      </c>
      <c r="C572" s="325" t="s">
        <v>280</v>
      </c>
      <c r="D572" s="326">
        <v>200</v>
      </c>
      <c r="E572" s="326"/>
      <c r="F572" s="326"/>
    </row>
    <row r="573" spans="1:6" s="6" customFormat="1" ht="45">
      <c r="B573" s="6" t="s">
        <v>2058</v>
      </c>
      <c r="C573" s="325" t="s">
        <v>280</v>
      </c>
      <c r="D573" s="326">
        <v>60</v>
      </c>
      <c r="E573" s="326"/>
      <c r="F573" s="326"/>
    </row>
    <row r="574" spans="1:6" s="6" customFormat="1" ht="30">
      <c r="B574" s="6" t="s">
        <v>2059</v>
      </c>
      <c r="C574" s="325" t="s">
        <v>18</v>
      </c>
      <c r="D574" s="326">
        <v>15</v>
      </c>
      <c r="E574" s="326"/>
      <c r="F574" s="326"/>
    </row>
    <row r="575" spans="1:6" s="6" customFormat="1">
      <c r="C575" s="325"/>
      <c r="D575" s="326"/>
      <c r="E575" s="326"/>
      <c r="F575" s="326"/>
    </row>
    <row r="576" spans="1:6" s="6" customFormat="1" ht="45">
      <c r="A576" s="6" t="s">
        <v>293</v>
      </c>
      <c r="B576" s="6" t="s">
        <v>2060</v>
      </c>
      <c r="C576" s="325"/>
      <c r="D576" s="326"/>
      <c r="E576" s="326"/>
      <c r="F576" s="326"/>
    </row>
    <row r="577" spans="1:7" s="6" customFormat="1">
      <c r="B577" s="6" t="s">
        <v>2061</v>
      </c>
      <c r="C577" s="325" t="s">
        <v>280</v>
      </c>
      <c r="D577" s="326">
        <v>30</v>
      </c>
      <c r="E577" s="326"/>
      <c r="F577" s="326"/>
    </row>
    <row r="578" spans="1:7" s="6" customFormat="1">
      <c r="B578" s="6" t="s">
        <v>2062</v>
      </c>
      <c r="C578" s="325" t="s">
        <v>280</v>
      </c>
      <c r="D578" s="326">
        <v>120</v>
      </c>
      <c r="E578" s="326"/>
      <c r="F578" s="326"/>
    </row>
    <row r="579" spans="1:7" s="6" customFormat="1">
      <c r="B579" s="6" t="s">
        <v>2063</v>
      </c>
      <c r="C579" s="325" t="s">
        <v>280</v>
      </c>
      <c r="D579" s="326">
        <v>240</v>
      </c>
      <c r="E579" s="326"/>
      <c r="F579" s="326"/>
    </row>
    <row r="580" spans="1:7" s="6" customFormat="1">
      <c r="B580" s="6" t="s">
        <v>2064</v>
      </c>
      <c r="C580" s="325" t="s">
        <v>280</v>
      </c>
      <c r="D580" s="326">
        <v>240</v>
      </c>
      <c r="E580" s="326"/>
      <c r="F580" s="326"/>
    </row>
    <row r="581" spans="1:7" s="6" customFormat="1">
      <c r="C581" s="325"/>
      <c r="D581" s="326"/>
      <c r="E581" s="326"/>
      <c r="F581" s="326"/>
    </row>
    <row r="582" spans="1:7" s="6" customFormat="1" ht="30">
      <c r="A582" s="6" t="s">
        <v>300</v>
      </c>
      <c r="B582" s="6" t="s">
        <v>2065</v>
      </c>
      <c r="C582" s="325" t="s">
        <v>18</v>
      </c>
      <c r="D582" s="326">
        <v>6</v>
      </c>
      <c r="E582" s="326"/>
      <c r="F582" s="326"/>
    </row>
    <row r="583" spans="1:7" s="6" customFormat="1">
      <c r="C583" s="325"/>
      <c r="D583" s="326"/>
      <c r="E583" s="326"/>
      <c r="F583" s="326"/>
    </row>
    <row r="584" spans="1:7" s="6" customFormat="1" ht="120">
      <c r="A584" s="6" t="s">
        <v>301</v>
      </c>
      <c r="B584" s="6" t="s">
        <v>2066</v>
      </c>
      <c r="C584" s="325" t="s">
        <v>18</v>
      </c>
      <c r="D584" s="326">
        <v>12</v>
      </c>
      <c r="E584" s="326"/>
      <c r="F584" s="326"/>
    </row>
    <row r="585" spans="1:7" s="6" customFormat="1">
      <c r="C585" s="325"/>
      <c r="D585" s="326"/>
      <c r="E585" s="326"/>
      <c r="F585" s="326"/>
    </row>
    <row r="586" spans="1:7" s="6" customFormat="1">
      <c r="C586" s="325"/>
      <c r="D586" s="326"/>
      <c r="E586" s="326"/>
      <c r="F586" s="326"/>
    </row>
    <row r="587" spans="1:7" s="6" customFormat="1">
      <c r="C587" s="325"/>
      <c r="D587" s="326"/>
      <c r="E587" s="326"/>
      <c r="F587" s="326"/>
    </row>
    <row r="588" spans="1:7" s="5" customFormat="1">
      <c r="B588" s="5" t="s">
        <v>2067</v>
      </c>
      <c r="C588" s="260"/>
      <c r="D588" s="328"/>
      <c r="E588" s="328"/>
      <c r="F588" s="328"/>
      <c r="G588" s="327"/>
    </row>
    <row r="589" spans="1:7" s="6" customFormat="1">
      <c r="C589" s="325"/>
      <c r="D589" s="326"/>
      <c r="E589" s="326"/>
      <c r="F589" s="326"/>
    </row>
    <row r="590" spans="1:7" s="6" customFormat="1">
      <c r="C590" s="325"/>
      <c r="D590" s="326"/>
      <c r="E590" s="326"/>
      <c r="F590" s="326"/>
    </row>
    <row r="591" spans="1:7" s="5" customFormat="1">
      <c r="B591" s="5" t="s">
        <v>2068</v>
      </c>
      <c r="C591" s="260"/>
      <c r="D591" s="328"/>
      <c r="E591" s="328"/>
      <c r="F591" s="326"/>
      <c r="G591" s="6"/>
    </row>
    <row r="592" spans="1:7" s="6" customFormat="1">
      <c r="C592" s="325"/>
      <c r="D592" s="326"/>
      <c r="E592" s="326"/>
      <c r="F592" s="326"/>
    </row>
    <row r="593" spans="1:7" s="317" customFormat="1">
      <c r="A593" s="317" t="s">
        <v>2447</v>
      </c>
      <c r="B593" s="317" t="s">
        <v>2069</v>
      </c>
      <c r="C593" s="330"/>
      <c r="D593" s="331"/>
      <c r="E593" s="331"/>
      <c r="F593" s="335"/>
      <c r="G593" s="6"/>
    </row>
    <row r="594" spans="1:7" s="6" customFormat="1">
      <c r="C594" s="325"/>
      <c r="D594" s="326"/>
      <c r="E594" s="326"/>
      <c r="F594" s="326"/>
    </row>
    <row r="595" spans="1:7" s="6" customFormat="1">
      <c r="C595" s="325"/>
      <c r="D595" s="326"/>
      <c r="E595" s="326"/>
      <c r="F595" s="326"/>
    </row>
    <row r="596" spans="1:7" s="6" customFormat="1" ht="135">
      <c r="A596" s="6" t="s">
        <v>282</v>
      </c>
      <c r="B596" s="6" t="s">
        <v>2070</v>
      </c>
      <c r="C596" s="325" t="s">
        <v>1800</v>
      </c>
      <c r="D596" s="326">
        <v>2</v>
      </c>
      <c r="E596" s="326"/>
      <c r="F596" s="326"/>
    </row>
    <row r="597" spans="1:7" s="6" customFormat="1">
      <c r="C597" s="325"/>
      <c r="D597" s="326"/>
      <c r="E597" s="326"/>
      <c r="F597" s="326"/>
    </row>
    <row r="598" spans="1:7" s="6" customFormat="1" ht="345">
      <c r="A598" s="6" t="s">
        <v>294</v>
      </c>
      <c r="B598" s="6" t="s">
        <v>2071</v>
      </c>
      <c r="C598" s="325" t="s">
        <v>76</v>
      </c>
      <c r="D598" s="326">
        <v>1</v>
      </c>
      <c r="E598" s="326"/>
      <c r="F598" s="326"/>
    </row>
    <row r="599" spans="1:7" s="6" customFormat="1" ht="60">
      <c r="A599" s="6" t="s">
        <v>671</v>
      </c>
      <c r="B599" s="6" t="s">
        <v>2072</v>
      </c>
      <c r="C599" s="325" t="s">
        <v>1800</v>
      </c>
      <c r="D599" s="326">
        <v>2</v>
      </c>
      <c r="E599" s="326"/>
      <c r="F599" s="326"/>
    </row>
    <row r="600" spans="1:7" s="6" customFormat="1" ht="60">
      <c r="A600" s="6" t="s">
        <v>652</v>
      </c>
      <c r="B600" s="6" t="s">
        <v>2073</v>
      </c>
      <c r="C600" s="325" t="s">
        <v>1800</v>
      </c>
      <c r="D600" s="326">
        <v>7</v>
      </c>
      <c r="E600" s="326"/>
      <c r="F600" s="326"/>
    </row>
    <row r="601" spans="1:7" s="6" customFormat="1" ht="60">
      <c r="A601" s="6" t="s">
        <v>653</v>
      </c>
      <c r="B601" s="6" t="s">
        <v>2074</v>
      </c>
      <c r="C601" s="325" t="s">
        <v>1800</v>
      </c>
      <c r="D601" s="326">
        <v>168</v>
      </c>
      <c r="E601" s="326"/>
      <c r="F601" s="326"/>
    </row>
    <row r="602" spans="1:7" s="6" customFormat="1" ht="45">
      <c r="A602" s="6" t="s">
        <v>654</v>
      </c>
      <c r="B602" s="6" t="s">
        <v>2075</v>
      </c>
      <c r="C602" s="325" t="s">
        <v>1800</v>
      </c>
      <c r="D602" s="326">
        <v>2</v>
      </c>
      <c r="E602" s="326"/>
      <c r="F602" s="326"/>
    </row>
    <row r="603" spans="1:7" s="6" customFormat="1" ht="60">
      <c r="A603" s="6" t="s">
        <v>285</v>
      </c>
      <c r="B603" s="6" t="s">
        <v>2076</v>
      </c>
      <c r="C603" s="325" t="s">
        <v>1800</v>
      </c>
      <c r="D603" s="326">
        <v>24</v>
      </c>
      <c r="E603" s="326"/>
      <c r="F603" s="326"/>
    </row>
    <row r="604" spans="1:7" s="6" customFormat="1" ht="30">
      <c r="A604" s="6" t="s">
        <v>286</v>
      </c>
      <c r="B604" s="6" t="s">
        <v>2077</v>
      </c>
      <c r="C604" s="325" t="s">
        <v>1800</v>
      </c>
      <c r="D604" s="326">
        <v>84</v>
      </c>
      <c r="E604" s="326"/>
      <c r="F604" s="326"/>
    </row>
    <row r="605" spans="1:7" s="6" customFormat="1" ht="45">
      <c r="A605" s="6" t="s">
        <v>287</v>
      </c>
      <c r="B605" s="6" t="s">
        <v>2078</v>
      </c>
      <c r="C605" s="325" t="s">
        <v>1800</v>
      </c>
      <c r="D605" s="326">
        <v>1</v>
      </c>
      <c r="E605" s="326"/>
      <c r="F605" s="326"/>
    </row>
    <row r="606" spans="1:7" s="6" customFormat="1">
      <c r="C606" s="325"/>
      <c r="D606" s="326"/>
      <c r="E606" s="326"/>
      <c r="F606" s="326"/>
    </row>
    <row r="607" spans="1:7" s="6" customFormat="1">
      <c r="C607" s="325"/>
      <c r="D607" s="326"/>
      <c r="E607" s="326"/>
      <c r="F607" s="326"/>
    </row>
    <row r="608" spans="1:7" s="6" customFormat="1" ht="345">
      <c r="A608" s="6" t="s">
        <v>288</v>
      </c>
      <c r="B608" s="6" t="s">
        <v>2079</v>
      </c>
      <c r="C608" s="325" t="s">
        <v>76</v>
      </c>
      <c r="D608" s="326">
        <v>1</v>
      </c>
      <c r="E608" s="326"/>
      <c r="F608" s="326"/>
    </row>
    <row r="609" spans="1:6" s="6" customFormat="1" ht="60">
      <c r="A609" s="6" t="s">
        <v>655</v>
      </c>
      <c r="B609" s="6" t="s">
        <v>2072</v>
      </c>
      <c r="C609" s="325" t="s">
        <v>1800</v>
      </c>
      <c r="D609" s="326">
        <v>2</v>
      </c>
      <c r="E609" s="326"/>
      <c r="F609" s="326"/>
    </row>
    <row r="610" spans="1:6" s="6" customFormat="1" ht="60">
      <c r="A610" s="6" t="s">
        <v>672</v>
      </c>
      <c r="B610" s="6" t="s">
        <v>2073</v>
      </c>
      <c r="C610" s="325" t="s">
        <v>1800</v>
      </c>
      <c r="D610" s="326">
        <v>4</v>
      </c>
      <c r="E610" s="326"/>
      <c r="F610" s="326"/>
    </row>
    <row r="611" spans="1:6" s="6" customFormat="1" ht="60">
      <c r="A611" s="6" t="s">
        <v>289</v>
      </c>
      <c r="B611" s="6" t="s">
        <v>2074</v>
      </c>
      <c r="C611" s="325" t="s">
        <v>1800</v>
      </c>
      <c r="D611" s="326">
        <v>24</v>
      </c>
      <c r="E611" s="326"/>
      <c r="F611" s="326"/>
    </row>
    <row r="612" spans="1:6" s="6" customFormat="1" ht="45">
      <c r="A612" s="6" t="s">
        <v>673</v>
      </c>
      <c r="B612" s="6" t="s">
        <v>2075</v>
      </c>
      <c r="C612" s="325" t="s">
        <v>1800</v>
      </c>
      <c r="D612" s="326">
        <v>2</v>
      </c>
      <c r="E612" s="326"/>
      <c r="F612" s="326"/>
    </row>
    <row r="613" spans="1:6" s="6" customFormat="1" ht="60">
      <c r="A613" s="6" t="s">
        <v>290</v>
      </c>
      <c r="B613" s="6" t="s">
        <v>2076</v>
      </c>
      <c r="C613" s="325" t="s">
        <v>1800</v>
      </c>
      <c r="D613" s="326">
        <v>24</v>
      </c>
      <c r="E613" s="326"/>
      <c r="F613" s="326"/>
    </row>
    <row r="614" spans="1:6" s="6" customFormat="1" ht="30">
      <c r="A614" s="6" t="s">
        <v>291</v>
      </c>
      <c r="B614" s="6" t="s">
        <v>2077</v>
      </c>
      <c r="C614" s="325" t="s">
        <v>1800</v>
      </c>
      <c r="D614" s="326">
        <v>12</v>
      </c>
      <c r="E614" s="326"/>
      <c r="F614" s="326"/>
    </row>
    <row r="615" spans="1:6" s="6" customFormat="1" ht="45">
      <c r="A615" s="6" t="s">
        <v>292</v>
      </c>
      <c r="B615" s="6" t="s">
        <v>2078</v>
      </c>
      <c r="C615" s="325" t="s">
        <v>1800</v>
      </c>
      <c r="D615" s="326">
        <v>1</v>
      </c>
      <c r="E615" s="326"/>
      <c r="F615" s="326"/>
    </row>
    <row r="616" spans="1:6" s="6" customFormat="1">
      <c r="C616" s="325"/>
      <c r="D616" s="326"/>
      <c r="E616" s="326"/>
      <c r="F616" s="326"/>
    </row>
    <row r="617" spans="1:6" s="6" customFormat="1">
      <c r="C617" s="325"/>
      <c r="D617" s="326"/>
      <c r="E617" s="326"/>
      <c r="F617" s="326"/>
    </row>
    <row r="618" spans="1:6" s="6" customFormat="1" ht="60">
      <c r="A618" s="6" t="s">
        <v>281</v>
      </c>
      <c r="B618" s="6" t="s">
        <v>2080</v>
      </c>
      <c r="C618" s="325"/>
      <c r="D618" s="326"/>
      <c r="E618" s="326"/>
      <c r="F618" s="326"/>
    </row>
    <row r="619" spans="1:6" s="6" customFormat="1" ht="30">
      <c r="B619" s="6" t="s">
        <v>2081</v>
      </c>
      <c r="C619" s="325" t="s">
        <v>1800</v>
      </c>
      <c r="D619" s="326">
        <v>60</v>
      </c>
      <c r="E619" s="326"/>
      <c r="F619" s="326"/>
    </row>
    <row r="620" spans="1:6" s="6" customFormat="1" ht="30">
      <c r="B620" s="6" t="s">
        <v>2082</v>
      </c>
      <c r="C620" s="325" t="s">
        <v>1800</v>
      </c>
      <c r="D620" s="326">
        <f>D619*2</f>
        <v>120</v>
      </c>
      <c r="E620" s="326"/>
      <c r="F620" s="326"/>
    </row>
    <row r="621" spans="1:6" s="6" customFormat="1">
      <c r="B621" s="6" t="s">
        <v>2083</v>
      </c>
      <c r="C621" s="325" t="s">
        <v>1800</v>
      </c>
      <c r="D621" s="326">
        <f>D619</f>
        <v>60</v>
      </c>
      <c r="E621" s="326"/>
      <c r="F621" s="326"/>
    </row>
    <row r="622" spans="1:6" s="6" customFormat="1">
      <c r="C622" s="325"/>
      <c r="D622" s="326"/>
      <c r="E622" s="326"/>
      <c r="F622" s="326"/>
    </row>
    <row r="623" spans="1:6" s="6" customFormat="1" ht="90">
      <c r="A623" s="6" t="s">
        <v>293</v>
      </c>
      <c r="B623" s="6" t="s">
        <v>2084</v>
      </c>
      <c r="C623" s="325" t="s">
        <v>1800</v>
      </c>
      <c r="D623" s="326">
        <v>4</v>
      </c>
      <c r="E623" s="326"/>
      <c r="F623" s="326"/>
    </row>
    <row r="624" spans="1:6" s="6" customFormat="1">
      <c r="C624" s="325"/>
      <c r="D624" s="326"/>
      <c r="E624" s="326"/>
      <c r="F624" s="326"/>
    </row>
    <row r="625" spans="1:6" s="6" customFormat="1" ht="60">
      <c r="A625" s="6" t="s">
        <v>300</v>
      </c>
      <c r="B625" s="6" t="s">
        <v>2085</v>
      </c>
      <c r="C625" s="325" t="s">
        <v>1800</v>
      </c>
      <c r="D625" s="326">
        <v>10</v>
      </c>
      <c r="E625" s="326"/>
      <c r="F625" s="326"/>
    </row>
    <row r="626" spans="1:6" s="6" customFormat="1">
      <c r="C626" s="325"/>
      <c r="D626" s="326"/>
      <c r="E626" s="326"/>
      <c r="F626" s="326"/>
    </row>
    <row r="627" spans="1:6" s="6" customFormat="1" ht="60">
      <c r="A627" s="6" t="s">
        <v>301</v>
      </c>
      <c r="B627" s="6" t="s">
        <v>2086</v>
      </c>
      <c r="C627" s="325" t="s">
        <v>280</v>
      </c>
      <c r="D627" s="326">
        <v>8000</v>
      </c>
      <c r="E627" s="326"/>
      <c r="F627" s="326"/>
    </row>
    <row r="628" spans="1:6" s="6" customFormat="1">
      <c r="C628" s="325"/>
      <c r="D628" s="326"/>
      <c r="E628" s="326"/>
      <c r="F628" s="326"/>
    </row>
    <row r="629" spans="1:6" s="6" customFormat="1" ht="60">
      <c r="A629" s="6" t="s">
        <v>302</v>
      </c>
      <c r="B629" s="6" t="s">
        <v>2087</v>
      </c>
      <c r="C629" s="325" t="s">
        <v>280</v>
      </c>
      <c r="D629" s="326">
        <v>150</v>
      </c>
      <c r="E629" s="326"/>
      <c r="F629" s="326"/>
    </row>
    <row r="630" spans="1:6" s="6" customFormat="1">
      <c r="C630" s="325"/>
      <c r="D630" s="326"/>
      <c r="E630" s="326"/>
      <c r="F630" s="326"/>
    </row>
    <row r="631" spans="1:6" s="6" customFormat="1">
      <c r="A631" s="6" t="s">
        <v>303</v>
      </c>
      <c r="B631" s="6" t="s">
        <v>2042</v>
      </c>
      <c r="C631" s="325"/>
      <c r="D631" s="326"/>
      <c r="E631" s="326"/>
      <c r="F631" s="326"/>
    </row>
    <row r="632" spans="1:6" s="6" customFormat="1">
      <c r="B632" s="6" t="s">
        <v>2043</v>
      </c>
      <c r="C632" s="325" t="s">
        <v>280</v>
      </c>
      <c r="D632" s="326">
        <f>D627*0.25</f>
        <v>2000</v>
      </c>
      <c r="E632" s="326"/>
      <c r="F632" s="326"/>
    </row>
    <row r="633" spans="1:6" s="6" customFormat="1">
      <c r="B633" s="6" t="s">
        <v>2045</v>
      </c>
      <c r="C633" s="325" t="s">
        <v>280</v>
      </c>
      <c r="D633" s="326">
        <f>(D629)*0.25+7.5</f>
        <v>45</v>
      </c>
      <c r="E633" s="326"/>
      <c r="F633" s="326"/>
    </row>
    <row r="634" spans="1:6" s="6" customFormat="1">
      <c r="C634" s="325"/>
      <c r="D634" s="326"/>
      <c r="E634" s="326"/>
      <c r="F634" s="326"/>
    </row>
    <row r="635" spans="1:6" s="6" customFormat="1">
      <c r="A635" s="6" t="s">
        <v>304</v>
      </c>
      <c r="B635" s="6" t="s">
        <v>2053</v>
      </c>
      <c r="C635" s="325"/>
      <c r="D635" s="326"/>
      <c r="E635" s="326"/>
      <c r="F635" s="326"/>
    </row>
    <row r="636" spans="1:6" s="6" customFormat="1" ht="30">
      <c r="B636" s="6" t="s">
        <v>2054</v>
      </c>
      <c r="C636" s="325" t="s">
        <v>280</v>
      </c>
      <c r="D636" s="326">
        <v>30</v>
      </c>
      <c r="E636" s="326"/>
      <c r="F636" s="326"/>
    </row>
    <row r="637" spans="1:6" s="6" customFormat="1" ht="30">
      <c r="B637" s="6" t="s">
        <v>2055</v>
      </c>
      <c r="C637" s="325" t="s">
        <v>280</v>
      </c>
      <c r="D637" s="326">
        <v>120</v>
      </c>
      <c r="E637" s="326"/>
      <c r="F637" s="326"/>
    </row>
    <row r="638" spans="1:6" s="6" customFormat="1" ht="30">
      <c r="B638" s="6" t="s">
        <v>2056</v>
      </c>
      <c r="C638" s="325" t="s">
        <v>280</v>
      </c>
      <c r="D638" s="326">
        <v>120</v>
      </c>
      <c r="E638" s="326"/>
      <c r="F638" s="326"/>
    </row>
    <row r="639" spans="1:6" s="6" customFormat="1">
      <c r="C639" s="325"/>
      <c r="D639" s="326"/>
      <c r="E639" s="326"/>
      <c r="F639" s="326"/>
    </row>
    <row r="640" spans="1:6" s="6" customFormat="1" ht="45">
      <c r="A640" s="6" t="s">
        <v>305</v>
      </c>
      <c r="B640" s="6" t="s">
        <v>2060</v>
      </c>
      <c r="C640" s="325"/>
      <c r="D640" s="326"/>
      <c r="E640" s="326"/>
      <c r="F640" s="326"/>
    </row>
    <row r="641" spans="1:7" s="6" customFormat="1">
      <c r="B641" s="6" t="s">
        <v>2062</v>
      </c>
      <c r="C641" s="325" t="s">
        <v>280</v>
      </c>
      <c r="D641" s="326">
        <v>105</v>
      </c>
      <c r="E641" s="326"/>
      <c r="F641" s="326"/>
    </row>
    <row r="642" spans="1:7" s="6" customFormat="1">
      <c r="B642" s="6" t="s">
        <v>2063</v>
      </c>
      <c r="C642" s="325" t="s">
        <v>280</v>
      </c>
      <c r="D642" s="326">
        <v>210</v>
      </c>
      <c r="E642" s="326"/>
      <c r="F642" s="326"/>
    </row>
    <row r="643" spans="1:7" s="6" customFormat="1">
      <c r="B643" s="6" t="s">
        <v>2064</v>
      </c>
      <c r="C643" s="325" t="s">
        <v>280</v>
      </c>
      <c r="D643" s="326">
        <v>210</v>
      </c>
      <c r="E643" s="326"/>
      <c r="F643" s="326"/>
    </row>
    <row r="644" spans="1:7" s="6" customFormat="1">
      <c r="C644" s="325"/>
      <c r="D644" s="326"/>
      <c r="E644" s="326"/>
      <c r="F644" s="326"/>
    </row>
    <row r="645" spans="1:7" s="6" customFormat="1" ht="75">
      <c r="A645" s="6" t="s">
        <v>306</v>
      </c>
      <c r="B645" s="6" t="s">
        <v>2088</v>
      </c>
      <c r="C645" s="325" t="s">
        <v>2089</v>
      </c>
      <c r="D645" s="326">
        <v>48</v>
      </c>
      <c r="E645" s="326"/>
      <c r="F645" s="326"/>
    </row>
    <row r="646" spans="1:7" s="6" customFormat="1">
      <c r="C646" s="325"/>
      <c r="D646" s="326"/>
      <c r="E646" s="326"/>
      <c r="F646" s="326"/>
    </row>
    <row r="647" spans="1:7" s="6" customFormat="1" ht="45">
      <c r="A647" s="6" t="s">
        <v>307</v>
      </c>
      <c r="B647" s="6" t="s">
        <v>2090</v>
      </c>
      <c r="C647" s="325" t="s">
        <v>1800</v>
      </c>
      <c r="D647" s="326">
        <v>126</v>
      </c>
      <c r="E647" s="326"/>
      <c r="F647" s="326"/>
    </row>
    <row r="648" spans="1:7" s="6" customFormat="1">
      <c r="C648" s="325"/>
      <c r="D648" s="326"/>
      <c r="E648" s="326"/>
      <c r="F648" s="326"/>
    </row>
    <row r="649" spans="1:7" s="6" customFormat="1">
      <c r="C649" s="325"/>
      <c r="D649" s="326"/>
      <c r="E649" s="326"/>
      <c r="F649" s="326"/>
    </row>
    <row r="650" spans="1:7" s="6" customFormat="1">
      <c r="C650" s="325"/>
      <c r="D650" s="326"/>
      <c r="E650" s="326"/>
      <c r="F650" s="326"/>
    </row>
    <row r="651" spans="1:7" s="5" customFormat="1" ht="30">
      <c r="B651" s="5" t="s">
        <v>2091</v>
      </c>
      <c r="C651" s="260"/>
      <c r="D651" s="328"/>
      <c r="E651" s="328"/>
      <c r="F651" s="328"/>
      <c r="G651" s="327"/>
    </row>
    <row r="652" spans="1:7" s="5" customFormat="1">
      <c r="C652" s="260"/>
      <c r="D652" s="328"/>
      <c r="E652" s="328"/>
      <c r="F652" s="328"/>
      <c r="G652" s="6"/>
    </row>
    <row r="653" spans="1:7" s="6" customFormat="1">
      <c r="C653" s="325"/>
      <c r="D653" s="326"/>
      <c r="E653" s="326"/>
      <c r="F653" s="326"/>
    </row>
    <row r="654" spans="1:7" s="317" customFormat="1">
      <c r="A654" s="317" t="s">
        <v>2448</v>
      </c>
      <c r="B654" s="317" t="s">
        <v>2092</v>
      </c>
      <c r="C654" s="330"/>
      <c r="D654" s="331"/>
      <c r="E654" s="331"/>
      <c r="F654" s="335"/>
      <c r="G654" s="6"/>
    </row>
    <row r="655" spans="1:7" s="6" customFormat="1">
      <c r="C655" s="325"/>
      <c r="D655" s="326"/>
      <c r="E655" s="326"/>
      <c r="F655" s="326"/>
    </row>
    <row r="656" spans="1:7" s="6" customFormat="1">
      <c r="C656" s="325"/>
      <c r="D656" s="326"/>
      <c r="E656" s="326"/>
      <c r="F656" s="326"/>
    </row>
    <row r="657" spans="1:6" s="6" customFormat="1" ht="120">
      <c r="A657" s="6" t="s">
        <v>282</v>
      </c>
      <c r="B657" s="6" t="s">
        <v>2093</v>
      </c>
      <c r="C657" s="325"/>
      <c r="D657" s="326"/>
      <c r="E657" s="326"/>
      <c r="F657" s="326"/>
    </row>
    <row r="658" spans="1:6" s="6" customFormat="1" ht="30">
      <c r="B658" s="6" t="s">
        <v>2094</v>
      </c>
      <c r="C658" s="325" t="s">
        <v>18</v>
      </c>
      <c r="D658" s="326">
        <v>1</v>
      </c>
      <c r="E658" s="326"/>
      <c r="F658" s="326"/>
    </row>
    <row r="659" spans="1:6" s="6" customFormat="1">
      <c r="B659" s="6" t="s">
        <v>2095</v>
      </c>
      <c r="C659" s="325" t="s">
        <v>18</v>
      </c>
      <c r="D659" s="326">
        <v>1</v>
      </c>
      <c r="E659" s="326"/>
      <c r="F659" s="326"/>
    </row>
    <row r="660" spans="1:6" s="6" customFormat="1" ht="30">
      <c r="B660" s="6" t="s">
        <v>2096</v>
      </c>
      <c r="C660" s="325" t="s">
        <v>18</v>
      </c>
      <c r="D660" s="326">
        <v>1</v>
      </c>
      <c r="E660" s="326"/>
      <c r="F660" s="326"/>
    </row>
    <row r="661" spans="1:6" s="6" customFormat="1">
      <c r="B661" s="6" t="s">
        <v>2097</v>
      </c>
      <c r="C661" s="325" t="s">
        <v>18</v>
      </c>
      <c r="D661" s="326">
        <v>9</v>
      </c>
      <c r="E661" s="326"/>
      <c r="F661" s="326"/>
    </row>
    <row r="662" spans="1:6" s="6" customFormat="1">
      <c r="B662" s="6" t="s">
        <v>2098</v>
      </c>
      <c r="C662" s="325" t="s">
        <v>18</v>
      </c>
      <c r="D662" s="326">
        <v>1</v>
      </c>
      <c r="E662" s="326"/>
      <c r="F662" s="326"/>
    </row>
    <row r="663" spans="1:6" s="6" customFormat="1">
      <c r="B663" s="6" t="s">
        <v>2099</v>
      </c>
      <c r="C663" s="325" t="s">
        <v>18</v>
      </c>
      <c r="D663" s="326">
        <v>1</v>
      </c>
      <c r="E663" s="326"/>
      <c r="F663" s="326"/>
    </row>
    <row r="664" spans="1:6" s="6" customFormat="1" ht="30">
      <c r="B664" s="6" t="s">
        <v>2100</v>
      </c>
      <c r="C664" s="325" t="s">
        <v>18</v>
      </c>
      <c r="D664" s="326">
        <v>32</v>
      </c>
      <c r="E664" s="326"/>
      <c r="F664" s="326"/>
    </row>
    <row r="665" spans="1:6" s="6" customFormat="1">
      <c r="C665" s="325"/>
      <c r="D665" s="326"/>
      <c r="E665" s="326"/>
      <c r="F665" s="326"/>
    </row>
    <row r="666" spans="1:6" s="6" customFormat="1">
      <c r="C666" s="325"/>
      <c r="D666" s="326"/>
      <c r="E666" s="326"/>
      <c r="F666" s="326"/>
    </row>
    <row r="667" spans="1:6" s="6" customFormat="1" ht="120">
      <c r="A667" s="6" t="s">
        <v>294</v>
      </c>
      <c r="B667" s="6" t="s">
        <v>2101</v>
      </c>
      <c r="C667" s="325"/>
      <c r="D667" s="326"/>
      <c r="E667" s="326"/>
      <c r="F667" s="326"/>
    </row>
    <row r="668" spans="1:6" s="6" customFormat="1" ht="30">
      <c r="B668" s="6" t="s">
        <v>2094</v>
      </c>
      <c r="C668" s="325" t="s">
        <v>18</v>
      </c>
      <c r="D668" s="326">
        <v>1</v>
      </c>
      <c r="E668" s="326"/>
      <c r="F668" s="326"/>
    </row>
    <row r="669" spans="1:6" s="6" customFormat="1" ht="30">
      <c r="B669" s="6" t="s">
        <v>2096</v>
      </c>
      <c r="C669" s="325" t="s">
        <v>18</v>
      </c>
      <c r="D669" s="326">
        <v>1</v>
      </c>
      <c r="E669" s="326"/>
      <c r="F669" s="326"/>
    </row>
    <row r="670" spans="1:6" s="6" customFormat="1">
      <c r="B670" s="6" t="s">
        <v>2097</v>
      </c>
      <c r="C670" s="325" t="s">
        <v>18</v>
      </c>
      <c r="D670" s="326">
        <v>9</v>
      </c>
      <c r="E670" s="326"/>
      <c r="F670" s="326"/>
    </row>
    <row r="671" spans="1:6" s="6" customFormat="1">
      <c r="B671" s="6" t="s">
        <v>2098</v>
      </c>
      <c r="C671" s="325" t="s">
        <v>18</v>
      </c>
      <c r="D671" s="326">
        <v>1</v>
      </c>
      <c r="E671" s="326"/>
      <c r="F671" s="326"/>
    </row>
    <row r="672" spans="1:6" s="6" customFormat="1">
      <c r="B672" s="6" t="s">
        <v>2102</v>
      </c>
      <c r="C672" s="325" t="s">
        <v>18</v>
      </c>
      <c r="D672" s="326">
        <v>1</v>
      </c>
      <c r="E672" s="326"/>
      <c r="F672" s="326"/>
    </row>
    <row r="673" spans="1:6" s="6" customFormat="1" ht="30">
      <c r="B673" s="6" t="s">
        <v>2100</v>
      </c>
      <c r="C673" s="325" t="s">
        <v>18</v>
      </c>
      <c r="D673" s="326">
        <v>32</v>
      </c>
      <c r="E673" s="326"/>
      <c r="F673" s="326"/>
    </row>
    <row r="674" spans="1:6" s="6" customFormat="1">
      <c r="C674" s="325"/>
      <c r="D674" s="326"/>
      <c r="E674" s="326"/>
      <c r="F674" s="326"/>
    </row>
    <row r="675" spans="1:6" s="6" customFormat="1">
      <c r="C675" s="325"/>
      <c r="D675" s="326"/>
      <c r="E675" s="326"/>
      <c r="F675" s="326"/>
    </row>
    <row r="676" spans="1:6" s="6" customFormat="1" ht="75">
      <c r="A676" s="6" t="s">
        <v>288</v>
      </c>
      <c r="B676" s="6" t="s">
        <v>2103</v>
      </c>
      <c r="C676" s="325" t="s">
        <v>1800</v>
      </c>
      <c r="D676" s="326">
        <v>3</v>
      </c>
      <c r="E676" s="326"/>
      <c r="F676" s="326"/>
    </row>
    <row r="677" spans="1:6" s="6" customFormat="1">
      <c r="C677" s="325"/>
      <c r="D677" s="326"/>
      <c r="E677" s="326"/>
      <c r="F677" s="326"/>
    </row>
    <row r="678" spans="1:6" s="6" customFormat="1" ht="45">
      <c r="A678" s="6" t="s">
        <v>281</v>
      </c>
      <c r="B678" s="6" t="s">
        <v>2104</v>
      </c>
      <c r="C678" s="325" t="s">
        <v>1800</v>
      </c>
      <c r="D678" s="326">
        <v>1</v>
      </c>
      <c r="E678" s="326"/>
      <c r="F678" s="326"/>
    </row>
    <row r="679" spans="1:6" s="6" customFormat="1">
      <c r="C679" s="325"/>
      <c r="D679" s="326"/>
      <c r="E679" s="326"/>
      <c r="F679" s="326"/>
    </row>
    <row r="680" spans="1:6" s="6" customFormat="1" ht="45">
      <c r="A680" s="6" t="s">
        <v>293</v>
      </c>
      <c r="B680" s="6" t="s">
        <v>2105</v>
      </c>
      <c r="C680" s="325" t="s">
        <v>1800</v>
      </c>
      <c r="D680" s="326">
        <v>2</v>
      </c>
      <c r="E680" s="326"/>
      <c r="F680" s="326"/>
    </row>
    <row r="681" spans="1:6" s="6" customFormat="1">
      <c r="C681" s="325"/>
      <c r="D681" s="326"/>
      <c r="E681" s="326"/>
      <c r="F681" s="326"/>
    </row>
    <row r="682" spans="1:6" s="6" customFormat="1" ht="30">
      <c r="A682" s="6" t="s">
        <v>300</v>
      </c>
      <c r="B682" s="6" t="s">
        <v>2106</v>
      </c>
      <c r="C682" s="325" t="s">
        <v>1800</v>
      </c>
      <c r="D682" s="326">
        <v>1</v>
      </c>
      <c r="E682" s="326"/>
      <c r="F682" s="326"/>
    </row>
    <row r="683" spans="1:6" s="6" customFormat="1">
      <c r="C683" s="325"/>
      <c r="D683" s="326"/>
      <c r="E683" s="326"/>
      <c r="F683" s="326"/>
    </row>
    <row r="684" spans="1:6" s="6" customFormat="1" ht="30">
      <c r="A684" s="6" t="s">
        <v>301</v>
      </c>
      <c r="B684" s="6" t="s">
        <v>2107</v>
      </c>
      <c r="C684" s="325" t="s">
        <v>1800</v>
      </c>
      <c r="D684" s="326">
        <v>1</v>
      </c>
      <c r="E684" s="326"/>
      <c r="F684" s="326"/>
    </row>
    <row r="685" spans="1:6" s="6" customFormat="1">
      <c r="C685" s="325"/>
      <c r="D685" s="326"/>
      <c r="E685" s="326"/>
      <c r="F685" s="326"/>
    </row>
    <row r="686" spans="1:6" s="6" customFormat="1" ht="45">
      <c r="A686" s="6" t="s">
        <v>302</v>
      </c>
      <c r="B686" s="6" t="s">
        <v>2108</v>
      </c>
      <c r="C686" s="325" t="s">
        <v>1800</v>
      </c>
      <c r="D686" s="326">
        <v>1</v>
      </c>
      <c r="E686" s="326"/>
      <c r="F686" s="326"/>
    </row>
    <row r="687" spans="1:6" s="6" customFormat="1">
      <c r="C687" s="325"/>
      <c r="D687" s="326"/>
      <c r="E687" s="326"/>
      <c r="F687" s="326"/>
    </row>
    <row r="688" spans="1:6" s="6" customFormat="1" ht="30">
      <c r="A688" s="6" t="s">
        <v>303</v>
      </c>
      <c r="B688" s="6" t="s">
        <v>2109</v>
      </c>
      <c r="C688" s="325" t="s">
        <v>1800</v>
      </c>
      <c r="D688" s="326">
        <v>20</v>
      </c>
      <c r="E688" s="326"/>
      <c r="F688" s="326"/>
    </row>
    <row r="689" spans="1:6" s="6" customFormat="1">
      <c r="C689" s="325"/>
      <c r="D689" s="326"/>
      <c r="E689" s="326"/>
      <c r="F689" s="326"/>
    </row>
    <row r="690" spans="1:6" s="6" customFormat="1" ht="45">
      <c r="A690" s="6" t="s">
        <v>304</v>
      </c>
      <c r="B690" s="6" t="s">
        <v>2110</v>
      </c>
      <c r="C690" s="325" t="s">
        <v>1800</v>
      </c>
      <c r="D690" s="326">
        <v>20</v>
      </c>
      <c r="E690" s="326"/>
      <c r="F690" s="326"/>
    </row>
    <row r="691" spans="1:6" s="6" customFormat="1">
      <c r="C691" s="325"/>
      <c r="D691" s="326"/>
      <c r="E691" s="326"/>
      <c r="F691" s="326"/>
    </row>
    <row r="692" spans="1:6" s="6" customFormat="1" ht="45">
      <c r="A692" s="6" t="s">
        <v>305</v>
      </c>
      <c r="B692" s="6" t="s">
        <v>2111</v>
      </c>
      <c r="C692" s="325" t="s">
        <v>280</v>
      </c>
      <c r="D692" s="326">
        <v>90</v>
      </c>
      <c r="E692" s="326"/>
      <c r="F692" s="326"/>
    </row>
    <row r="693" spans="1:6" s="6" customFormat="1">
      <c r="C693" s="325"/>
      <c r="D693" s="326"/>
      <c r="E693" s="326"/>
      <c r="F693" s="326"/>
    </row>
    <row r="694" spans="1:6" s="6" customFormat="1" ht="60">
      <c r="A694" s="6" t="s">
        <v>306</v>
      </c>
      <c r="B694" s="6" t="s">
        <v>2112</v>
      </c>
      <c r="C694" s="325" t="s">
        <v>280</v>
      </c>
      <c r="D694" s="326">
        <v>800</v>
      </c>
      <c r="E694" s="326"/>
      <c r="F694" s="326"/>
    </row>
    <row r="695" spans="1:6" s="6" customFormat="1">
      <c r="C695" s="325"/>
      <c r="D695" s="326"/>
      <c r="E695" s="326"/>
      <c r="F695" s="326"/>
    </row>
    <row r="696" spans="1:6" s="6" customFormat="1" ht="30">
      <c r="A696" s="6" t="s">
        <v>307</v>
      </c>
      <c r="B696" s="6" t="s">
        <v>2113</v>
      </c>
      <c r="C696" s="325" t="s">
        <v>1800</v>
      </c>
      <c r="D696" s="326">
        <v>12</v>
      </c>
      <c r="E696" s="326"/>
      <c r="F696" s="326"/>
    </row>
    <row r="697" spans="1:6" s="6" customFormat="1">
      <c r="C697" s="325"/>
      <c r="D697" s="326"/>
      <c r="E697" s="326"/>
      <c r="F697" s="326"/>
    </row>
    <row r="698" spans="1:6" s="6" customFormat="1" ht="45">
      <c r="A698" s="6" t="s">
        <v>308</v>
      </c>
      <c r="B698" s="6" t="s">
        <v>2114</v>
      </c>
      <c r="C698" s="325"/>
      <c r="D698" s="326"/>
      <c r="E698" s="326"/>
      <c r="F698" s="326"/>
    </row>
    <row r="699" spans="1:6" s="6" customFormat="1">
      <c r="B699" s="6" t="s">
        <v>2064</v>
      </c>
      <c r="C699" s="325" t="s">
        <v>280</v>
      </c>
      <c r="D699" s="326">
        <v>120</v>
      </c>
      <c r="E699" s="326"/>
      <c r="F699" s="326"/>
    </row>
    <row r="700" spans="1:6" s="6" customFormat="1">
      <c r="C700" s="325"/>
      <c r="D700" s="326"/>
      <c r="E700" s="326"/>
      <c r="F700" s="326"/>
    </row>
    <row r="701" spans="1:6" s="6" customFormat="1">
      <c r="A701" s="6" t="s">
        <v>309</v>
      </c>
      <c r="B701" s="6" t="s">
        <v>2042</v>
      </c>
      <c r="C701" s="325"/>
      <c r="D701" s="326"/>
      <c r="E701" s="326"/>
      <c r="F701" s="326"/>
    </row>
    <row r="702" spans="1:6" s="6" customFormat="1">
      <c r="B702" s="6" t="s">
        <v>2045</v>
      </c>
      <c r="C702" s="325" t="s">
        <v>280</v>
      </c>
      <c r="D702" s="326">
        <f>D694*0.25</f>
        <v>200</v>
      </c>
      <c r="E702" s="326"/>
      <c r="F702" s="326"/>
    </row>
    <row r="703" spans="1:6" s="6" customFormat="1">
      <c r="C703" s="325"/>
      <c r="D703" s="326"/>
      <c r="E703" s="326"/>
      <c r="F703" s="326"/>
    </row>
    <row r="704" spans="1:6" s="6" customFormat="1">
      <c r="A704" s="6" t="s">
        <v>310</v>
      </c>
      <c r="B704" s="6" t="s">
        <v>2053</v>
      </c>
      <c r="C704" s="325"/>
      <c r="D704" s="326"/>
      <c r="E704" s="326"/>
      <c r="F704" s="326"/>
    </row>
    <row r="705" spans="1:7" s="6" customFormat="1" ht="30">
      <c r="B705" s="6" t="s">
        <v>2055</v>
      </c>
      <c r="C705" s="325" t="s">
        <v>280</v>
      </c>
      <c r="D705" s="326">
        <v>90</v>
      </c>
      <c r="E705" s="326"/>
      <c r="F705" s="326"/>
    </row>
    <row r="706" spans="1:7" s="6" customFormat="1">
      <c r="C706" s="325"/>
      <c r="D706" s="326"/>
      <c r="E706" s="326"/>
      <c r="F706" s="326"/>
    </row>
    <row r="707" spans="1:7" s="6" customFormat="1">
      <c r="A707" s="6" t="s">
        <v>311</v>
      </c>
      <c r="B707" s="6" t="s">
        <v>2050</v>
      </c>
      <c r="C707" s="325"/>
      <c r="D707" s="326"/>
      <c r="E707" s="326"/>
      <c r="F707" s="326"/>
    </row>
    <row r="708" spans="1:7" s="6" customFormat="1">
      <c r="B708" s="6" t="s">
        <v>2052</v>
      </c>
      <c r="C708" s="325" t="s">
        <v>280</v>
      </c>
      <c r="D708" s="326">
        <v>90</v>
      </c>
      <c r="E708" s="326"/>
      <c r="F708" s="326"/>
    </row>
    <row r="709" spans="1:7" s="6" customFormat="1">
      <c r="C709" s="325"/>
      <c r="D709" s="326"/>
      <c r="E709" s="326"/>
      <c r="F709" s="326"/>
    </row>
    <row r="710" spans="1:7" s="6" customFormat="1">
      <c r="C710" s="325"/>
      <c r="D710" s="326"/>
      <c r="E710" s="326"/>
      <c r="F710" s="326"/>
    </row>
    <row r="711" spans="1:7" s="6" customFormat="1">
      <c r="C711" s="325"/>
      <c r="D711" s="326"/>
      <c r="E711" s="326"/>
      <c r="F711" s="326"/>
    </row>
    <row r="712" spans="1:7" s="5" customFormat="1">
      <c r="B712" s="5" t="s">
        <v>2115</v>
      </c>
      <c r="C712" s="260"/>
      <c r="D712" s="328"/>
      <c r="E712" s="328"/>
      <c r="F712" s="328"/>
      <c r="G712" s="6"/>
    </row>
    <row r="713" spans="1:7" s="6" customFormat="1">
      <c r="C713" s="325"/>
      <c r="D713" s="326"/>
      <c r="E713" s="326"/>
      <c r="F713" s="326"/>
    </row>
    <row r="714" spans="1:7" s="6" customFormat="1">
      <c r="C714" s="325"/>
      <c r="D714" s="326"/>
      <c r="E714" s="326"/>
      <c r="F714" s="326"/>
    </row>
    <row r="715" spans="1:7" s="317" customFormat="1">
      <c r="A715" s="317" t="s">
        <v>2449</v>
      </c>
      <c r="B715" s="317" t="s">
        <v>2116</v>
      </c>
      <c r="C715" s="330"/>
      <c r="D715" s="331"/>
      <c r="E715" s="331"/>
      <c r="F715" s="335"/>
      <c r="G715" s="6"/>
    </row>
    <row r="716" spans="1:7" s="6" customFormat="1">
      <c r="C716" s="325"/>
      <c r="D716" s="326"/>
      <c r="E716" s="326"/>
      <c r="F716" s="326"/>
    </row>
    <row r="717" spans="1:7" s="6" customFormat="1">
      <c r="C717" s="325"/>
      <c r="D717" s="326"/>
      <c r="E717" s="326"/>
      <c r="F717" s="326"/>
    </row>
    <row r="718" spans="1:7" s="6" customFormat="1" ht="135">
      <c r="A718" s="6" t="s">
        <v>282</v>
      </c>
      <c r="B718" s="6" t="s">
        <v>2117</v>
      </c>
      <c r="C718" s="325"/>
      <c r="D718" s="326"/>
      <c r="E718" s="326"/>
      <c r="F718" s="326"/>
    </row>
    <row r="719" spans="1:7" s="6" customFormat="1">
      <c r="C719" s="325" t="s">
        <v>18</v>
      </c>
      <c r="D719" s="326">
        <v>1</v>
      </c>
      <c r="E719" s="326"/>
      <c r="F719" s="326"/>
    </row>
    <row r="720" spans="1:7" s="6" customFormat="1">
      <c r="C720" s="325"/>
      <c r="D720" s="326"/>
      <c r="E720" s="326"/>
      <c r="F720" s="326"/>
    </row>
    <row r="721" spans="1:6" s="6" customFormat="1" ht="120">
      <c r="A721" s="6" t="s">
        <v>294</v>
      </c>
      <c r="B721" s="6" t="s">
        <v>2118</v>
      </c>
      <c r="C721" s="325"/>
      <c r="D721" s="326"/>
      <c r="E721" s="326"/>
      <c r="F721" s="326"/>
    </row>
    <row r="722" spans="1:6" s="6" customFormat="1">
      <c r="C722" s="325" t="s">
        <v>18</v>
      </c>
      <c r="D722" s="326">
        <v>1</v>
      </c>
      <c r="E722" s="326"/>
      <c r="F722" s="326"/>
    </row>
    <row r="723" spans="1:6" s="6" customFormat="1">
      <c r="C723" s="325"/>
      <c r="D723" s="326"/>
      <c r="E723" s="326"/>
      <c r="F723" s="326"/>
    </row>
    <row r="724" spans="1:6" s="6" customFormat="1" ht="60">
      <c r="A724" s="6" t="s">
        <v>288</v>
      </c>
      <c r="B724" s="6" t="s">
        <v>2119</v>
      </c>
      <c r="C724" s="325"/>
      <c r="D724" s="326"/>
      <c r="E724" s="326"/>
      <c r="F724" s="326"/>
    </row>
    <row r="725" spans="1:6" s="6" customFormat="1">
      <c r="C725" s="325" t="s">
        <v>18</v>
      </c>
      <c r="D725" s="326">
        <v>1</v>
      </c>
      <c r="E725" s="326"/>
      <c r="F725" s="326"/>
    </row>
    <row r="726" spans="1:6" s="6" customFormat="1">
      <c r="C726" s="325"/>
      <c r="D726" s="326"/>
      <c r="E726" s="326"/>
      <c r="F726" s="326"/>
    </row>
    <row r="727" spans="1:6" s="6" customFormat="1">
      <c r="A727" s="6" t="s">
        <v>300</v>
      </c>
      <c r="B727" s="6" t="s">
        <v>2120</v>
      </c>
      <c r="C727" s="325"/>
      <c r="D727" s="326"/>
      <c r="E727" s="326"/>
      <c r="F727" s="326"/>
    </row>
    <row r="728" spans="1:6" s="6" customFormat="1">
      <c r="B728" s="6" t="s">
        <v>2121</v>
      </c>
      <c r="C728" s="325" t="s">
        <v>280</v>
      </c>
      <c r="D728" s="326">
        <v>75</v>
      </c>
      <c r="E728" s="326"/>
      <c r="F728" s="326"/>
    </row>
    <row r="729" spans="1:6" s="6" customFormat="1">
      <c r="C729" s="325"/>
      <c r="D729" s="326"/>
      <c r="E729" s="326"/>
      <c r="F729" s="326"/>
    </row>
    <row r="730" spans="1:6" s="6" customFormat="1">
      <c r="A730" s="6" t="s">
        <v>301</v>
      </c>
      <c r="B730" s="6" t="s">
        <v>2120</v>
      </c>
      <c r="C730" s="325"/>
      <c r="D730" s="326"/>
      <c r="E730" s="326"/>
      <c r="F730" s="326"/>
    </row>
    <row r="731" spans="1:6" s="6" customFormat="1">
      <c r="B731" s="6" t="s">
        <v>2036</v>
      </c>
      <c r="C731" s="325" t="s">
        <v>280</v>
      </c>
      <c r="D731" s="326">
        <v>75</v>
      </c>
      <c r="E731" s="326"/>
      <c r="F731" s="326"/>
    </row>
    <row r="732" spans="1:6" s="6" customFormat="1">
      <c r="C732" s="325"/>
      <c r="D732" s="326"/>
      <c r="E732" s="326"/>
      <c r="F732" s="326"/>
    </row>
    <row r="733" spans="1:6" s="6" customFormat="1">
      <c r="A733" s="6" t="s">
        <v>303</v>
      </c>
      <c r="B733" s="6" t="s">
        <v>2042</v>
      </c>
      <c r="C733" s="325"/>
      <c r="D733" s="326"/>
      <c r="E733" s="326"/>
      <c r="F733" s="326"/>
    </row>
    <row r="734" spans="1:6" s="6" customFormat="1">
      <c r="B734" s="6" t="s">
        <v>2044</v>
      </c>
      <c r="C734" s="325" t="s">
        <v>280</v>
      </c>
      <c r="D734" s="326">
        <v>75</v>
      </c>
      <c r="E734" s="326"/>
      <c r="F734" s="326"/>
    </row>
    <row r="735" spans="1:6" s="6" customFormat="1">
      <c r="C735" s="325"/>
      <c r="D735" s="326"/>
      <c r="E735" s="326"/>
      <c r="F735" s="326"/>
    </row>
    <row r="736" spans="1:6" s="6" customFormat="1">
      <c r="C736" s="325"/>
      <c r="D736" s="326"/>
      <c r="E736" s="326"/>
      <c r="F736" s="326"/>
    </row>
    <row r="737" spans="1:8" s="6" customFormat="1">
      <c r="C737" s="325"/>
      <c r="D737" s="326"/>
      <c r="E737" s="326"/>
      <c r="F737" s="326"/>
    </row>
    <row r="738" spans="1:8" s="5" customFormat="1">
      <c r="B738" s="5" t="s">
        <v>2122</v>
      </c>
      <c r="C738" s="260"/>
      <c r="D738" s="328"/>
      <c r="E738" s="328"/>
      <c r="F738" s="328"/>
      <c r="G738" s="6"/>
    </row>
    <row r="739" spans="1:8" s="5" customFormat="1">
      <c r="C739" s="260"/>
      <c r="D739" s="328"/>
      <c r="E739" s="328"/>
      <c r="F739" s="328"/>
      <c r="G739" s="6"/>
    </row>
    <row r="740" spans="1:8" s="6" customFormat="1">
      <c r="C740" s="325"/>
      <c r="D740" s="326"/>
      <c r="E740" s="326"/>
      <c r="F740" s="326"/>
    </row>
    <row r="741" spans="1:8" s="317" customFormat="1">
      <c r="A741" s="317" t="s">
        <v>2450</v>
      </c>
      <c r="B741" s="317" t="s">
        <v>2123</v>
      </c>
      <c r="C741" s="330"/>
      <c r="D741" s="331"/>
      <c r="E741" s="331"/>
      <c r="F741" s="335"/>
      <c r="G741" s="6"/>
    </row>
    <row r="742" spans="1:8" s="6" customFormat="1">
      <c r="C742" s="325"/>
      <c r="D742" s="326"/>
      <c r="E742" s="326"/>
      <c r="F742" s="326"/>
    </row>
    <row r="743" spans="1:8" s="6" customFormat="1">
      <c r="C743" s="325"/>
      <c r="D743" s="326"/>
      <c r="E743" s="326"/>
      <c r="F743" s="326"/>
    </row>
    <row r="744" spans="1:8" s="6" customFormat="1" ht="180">
      <c r="B744" s="6" t="s">
        <v>2124</v>
      </c>
      <c r="C744" s="325"/>
      <c r="D744" s="326"/>
      <c r="E744" s="326"/>
      <c r="F744" s="326"/>
    </row>
    <row r="745" spans="1:8" s="324" customFormat="1">
      <c r="A745" s="343"/>
      <c r="B745" s="6"/>
      <c r="C745" s="344"/>
      <c r="D745" s="345"/>
      <c r="E745" s="346"/>
      <c r="F745" s="347"/>
      <c r="G745" s="334"/>
      <c r="H745" s="334"/>
    </row>
    <row r="746" spans="1:8" s="324" customFormat="1">
      <c r="A746" s="343" t="s">
        <v>2125</v>
      </c>
      <c r="B746" s="6" t="s">
        <v>2126</v>
      </c>
      <c r="C746" s="344"/>
      <c r="D746" s="345"/>
      <c r="E746" s="346"/>
      <c r="F746" s="347"/>
      <c r="G746" s="334"/>
      <c r="H746" s="334"/>
    </row>
    <row r="747" spans="1:8" s="324" customFormat="1" ht="30">
      <c r="A747" s="343" t="s">
        <v>2127</v>
      </c>
      <c r="B747" s="6" t="s">
        <v>2128</v>
      </c>
      <c r="C747" s="344" t="s">
        <v>76</v>
      </c>
      <c r="D747" s="345">
        <v>1</v>
      </c>
      <c r="E747" s="346"/>
      <c r="F747" s="347"/>
      <c r="G747" s="334"/>
      <c r="H747" s="334"/>
    </row>
    <row r="748" spans="1:8" s="324" customFormat="1">
      <c r="A748" s="343"/>
      <c r="B748" s="6" t="s">
        <v>2129</v>
      </c>
      <c r="C748" s="344"/>
      <c r="D748" s="345"/>
      <c r="E748" s="346"/>
      <c r="F748" s="347"/>
      <c r="G748" s="334"/>
      <c r="H748" s="334"/>
    </row>
    <row r="749" spans="1:8" s="324" customFormat="1" ht="30">
      <c r="A749" s="343" t="s">
        <v>2130</v>
      </c>
      <c r="B749" s="6" t="s">
        <v>2131</v>
      </c>
      <c r="C749" s="344"/>
      <c r="D749" s="345"/>
      <c r="E749" s="346"/>
      <c r="F749" s="347"/>
      <c r="G749" s="334"/>
      <c r="H749" s="334"/>
    </row>
    <row r="750" spans="1:8" s="324" customFormat="1">
      <c r="A750" s="343"/>
      <c r="B750" s="6" t="s">
        <v>2473</v>
      </c>
      <c r="C750" s="344"/>
      <c r="D750" s="345"/>
      <c r="E750" s="346"/>
      <c r="F750" s="347"/>
      <c r="G750" s="334"/>
      <c r="H750" s="334"/>
    </row>
    <row r="751" spans="1:8" s="324" customFormat="1" ht="90">
      <c r="A751" s="343"/>
      <c r="B751" s="6" t="s">
        <v>2132</v>
      </c>
      <c r="C751" s="344"/>
      <c r="D751" s="345"/>
      <c r="E751" s="346"/>
      <c r="F751" s="347"/>
      <c r="G751" s="334"/>
      <c r="H751" s="334"/>
    </row>
    <row r="752" spans="1:8" s="324" customFormat="1">
      <c r="A752" s="343" t="s">
        <v>2133</v>
      </c>
      <c r="B752" s="6" t="s">
        <v>2134</v>
      </c>
      <c r="C752" s="344"/>
      <c r="D752" s="345"/>
      <c r="E752" s="346"/>
      <c r="F752" s="347"/>
      <c r="G752" s="334"/>
      <c r="H752" s="334"/>
    </row>
    <row r="753" spans="1:8" s="324" customFormat="1" ht="30">
      <c r="A753" s="343"/>
      <c r="B753" s="6" t="s">
        <v>2474</v>
      </c>
      <c r="C753" s="344"/>
      <c r="D753" s="345"/>
      <c r="E753" s="346"/>
      <c r="F753" s="347"/>
      <c r="G753" s="334"/>
      <c r="H753" s="334"/>
    </row>
    <row r="754" spans="1:8" s="324" customFormat="1" ht="285">
      <c r="A754" s="343"/>
      <c r="B754" s="6" t="s">
        <v>2135</v>
      </c>
      <c r="C754" s="344"/>
      <c r="D754" s="345"/>
      <c r="E754" s="346"/>
      <c r="F754" s="347"/>
      <c r="G754" s="334"/>
      <c r="H754" s="334"/>
    </row>
    <row r="755" spans="1:8" s="324" customFormat="1">
      <c r="A755" s="343" t="s">
        <v>2133</v>
      </c>
      <c r="B755" s="6" t="s">
        <v>2136</v>
      </c>
      <c r="C755" s="344"/>
      <c r="D755" s="345"/>
      <c r="E755" s="346"/>
      <c r="F755" s="347"/>
      <c r="G755" s="334"/>
      <c r="H755" s="334"/>
    </row>
    <row r="756" spans="1:8" s="324" customFormat="1" ht="30">
      <c r="A756" s="343"/>
      <c r="B756" s="6" t="s">
        <v>2474</v>
      </c>
      <c r="C756" s="344"/>
      <c r="D756" s="345"/>
      <c r="E756" s="346"/>
      <c r="F756" s="347"/>
      <c r="G756" s="334"/>
      <c r="H756" s="334"/>
    </row>
    <row r="757" spans="1:8" s="324" customFormat="1" ht="180">
      <c r="A757" s="343"/>
      <c r="B757" s="6" t="s">
        <v>2137</v>
      </c>
      <c r="C757" s="344"/>
      <c r="D757" s="345"/>
      <c r="E757" s="346"/>
      <c r="F757" s="347"/>
      <c r="G757" s="334"/>
      <c r="H757" s="334"/>
    </row>
    <row r="758" spans="1:8" s="324" customFormat="1">
      <c r="A758" s="343" t="s">
        <v>2133</v>
      </c>
      <c r="B758" s="6" t="s">
        <v>2138</v>
      </c>
      <c r="C758" s="344"/>
      <c r="D758" s="345"/>
      <c r="E758" s="346"/>
      <c r="F758" s="347"/>
      <c r="G758" s="334"/>
      <c r="H758" s="334"/>
    </row>
    <row r="759" spans="1:8" s="324" customFormat="1" ht="30">
      <c r="A759" s="343"/>
      <c r="B759" s="6" t="s">
        <v>2475</v>
      </c>
      <c r="C759" s="344"/>
      <c r="D759" s="345"/>
      <c r="E759" s="346"/>
      <c r="F759" s="347"/>
      <c r="G759" s="334"/>
      <c r="H759" s="334"/>
    </row>
    <row r="760" spans="1:8" s="324" customFormat="1" ht="330">
      <c r="A760" s="343"/>
      <c r="B760" s="6" t="s">
        <v>2139</v>
      </c>
      <c r="C760" s="344"/>
      <c r="D760" s="345"/>
      <c r="E760" s="346"/>
      <c r="F760" s="347"/>
      <c r="G760" s="334"/>
      <c r="H760" s="334"/>
    </row>
    <row r="761" spans="1:8" s="324" customFormat="1" ht="30">
      <c r="A761" s="343" t="s">
        <v>2133</v>
      </c>
      <c r="B761" s="6" t="s">
        <v>2140</v>
      </c>
      <c r="C761" s="344"/>
      <c r="D761" s="345"/>
      <c r="E761" s="346"/>
      <c r="F761" s="347"/>
      <c r="G761" s="334"/>
      <c r="H761" s="334"/>
    </row>
    <row r="762" spans="1:8" s="324" customFormat="1" ht="30">
      <c r="A762" s="343"/>
      <c r="B762" s="6" t="s">
        <v>2474</v>
      </c>
      <c r="C762" s="344"/>
      <c r="D762" s="345"/>
      <c r="E762" s="346"/>
      <c r="F762" s="347"/>
      <c r="G762" s="334"/>
      <c r="H762" s="334"/>
    </row>
    <row r="763" spans="1:8" s="324" customFormat="1" ht="120">
      <c r="A763" s="343"/>
      <c r="B763" s="6" t="s">
        <v>2141</v>
      </c>
      <c r="C763" s="344"/>
      <c r="D763" s="345"/>
      <c r="E763" s="346"/>
      <c r="F763" s="347"/>
      <c r="G763" s="334"/>
      <c r="H763" s="334"/>
    </row>
    <row r="764" spans="1:8" s="324" customFormat="1">
      <c r="A764" s="343" t="s">
        <v>2133</v>
      </c>
      <c r="B764" s="6" t="s">
        <v>2142</v>
      </c>
      <c r="C764" s="344"/>
      <c r="D764" s="345"/>
      <c r="E764" s="346"/>
      <c r="F764" s="347"/>
      <c r="G764" s="334"/>
      <c r="H764" s="334"/>
    </row>
    <row r="765" spans="1:8" s="324" customFormat="1" ht="30">
      <c r="A765" s="343"/>
      <c r="B765" s="6" t="s">
        <v>2474</v>
      </c>
      <c r="C765" s="344"/>
      <c r="D765" s="345"/>
      <c r="E765" s="346"/>
      <c r="F765" s="347"/>
      <c r="G765" s="334"/>
      <c r="H765" s="334"/>
    </row>
    <row r="766" spans="1:8" s="324" customFormat="1" ht="135">
      <c r="A766" s="343"/>
      <c r="B766" s="6" t="s">
        <v>2143</v>
      </c>
      <c r="C766" s="344"/>
      <c r="D766" s="345"/>
      <c r="E766" s="346"/>
      <c r="F766" s="347"/>
      <c r="G766" s="334"/>
      <c r="H766" s="334"/>
    </row>
    <row r="767" spans="1:8" s="324" customFormat="1" ht="30">
      <c r="A767" s="343" t="s">
        <v>2133</v>
      </c>
      <c r="B767" s="6" t="s">
        <v>2144</v>
      </c>
      <c r="C767" s="344"/>
      <c r="D767" s="345"/>
      <c r="E767" s="346"/>
      <c r="F767" s="347"/>
      <c r="G767" s="334"/>
      <c r="H767" s="334"/>
    </row>
    <row r="768" spans="1:8" s="324" customFormat="1" ht="30">
      <c r="A768" s="343"/>
      <c r="B768" s="6" t="s">
        <v>2476</v>
      </c>
      <c r="C768" s="344"/>
      <c r="D768" s="345"/>
      <c r="E768" s="346"/>
      <c r="F768" s="347"/>
      <c r="G768" s="334"/>
      <c r="H768" s="334"/>
    </row>
    <row r="769" spans="1:8" s="324" customFormat="1" ht="240">
      <c r="A769" s="343"/>
      <c r="B769" s="6" t="s">
        <v>2145</v>
      </c>
      <c r="C769" s="344"/>
      <c r="D769" s="345"/>
      <c r="E769" s="346"/>
      <c r="F769" s="347"/>
      <c r="G769" s="334"/>
      <c r="H769" s="334"/>
    </row>
    <row r="770" spans="1:8" s="324" customFormat="1">
      <c r="A770" s="343" t="s">
        <v>2133</v>
      </c>
      <c r="B770" s="6" t="s">
        <v>2146</v>
      </c>
      <c r="C770" s="344"/>
      <c r="D770" s="345"/>
      <c r="E770" s="346"/>
      <c r="F770" s="347"/>
      <c r="G770" s="334"/>
      <c r="H770" s="334"/>
    </row>
    <row r="771" spans="1:8" s="324" customFormat="1" ht="30">
      <c r="A771" s="343"/>
      <c r="B771" s="6" t="s">
        <v>2474</v>
      </c>
      <c r="C771" s="344"/>
      <c r="D771" s="345"/>
      <c r="E771" s="346"/>
      <c r="F771" s="347"/>
      <c r="G771" s="334"/>
      <c r="H771" s="334"/>
    </row>
    <row r="772" spans="1:8" s="324" customFormat="1" ht="90">
      <c r="A772" s="343"/>
      <c r="B772" s="6" t="s">
        <v>2147</v>
      </c>
      <c r="C772" s="344"/>
      <c r="D772" s="345"/>
      <c r="E772" s="346"/>
      <c r="F772" s="347"/>
      <c r="G772" s="334"/>
      <c r="H772" s="334"/>
    </row>
    <row r="773" spans="1:8" s="324" customFormat="1" ht="30">
      <c r="A773" s="343" t="s">
        <v>2133</v>
      </c>
      <c r="B773" s="6" t="s">
        <v>2148</v>
      </c>
      <c r="C773" s="344"/>
      <c r="D773" s="345"/>
      <c r="E773" s="346"/>
      <c r="F773" s="347"/>
      <c r="G773" s="334"/>
      <c r="H773" s="334"/>
    </row>
    <row r="774" spans="1:8" s="324" customFormat="1">
      <c r="A774" s="343"/>
      <c r="B774" s="6" t="s">
        <v>2149</v>
      </c>
      <c r="C774" s="344"/>
      <c r="D774" s="345"/>
      <c r="E774" s="346"/>
      <c r="F774" s="347"/>
      <c r="G774" s="334"/>
      <c r="H774" s="334"/>
    </row>
    <row r="775" spans="1:8" s="324" customFormat="1">
      <c r="A775" s="343"/>
      <c r="B775" s="6" t="s">
        <v>2477</v>
      </c>
      <c r="C775" s="344"/>
      <c r="D775" s="345"/>
      <c r="E775" s="346"/>
      <c r="F775" s="347"/>
      <c r="G775" s="334"/>
      <c r="H775" s="334"/>
    </row>
    <row r="776" spans="1:8" s="324" customFormat="1" ht="225">
      <c r="A776" s="343"/>
      <c r="B776" s="6" t="s">
        <v>2150</v>
      </c>
      <c r="C776" s="344"/>
      <c r="D776" s="345"/>
      <c r="E776" s="346"/>
      <c r="F776" s="347"/>
      <c r="G776" s="334"/>
      <c r="H776" s="334"/>
    </row>
    <row r="777" spans="1:8" s="324" customFormat="1" ht="30">
      <c r="A777" s="343" t="s">
        <v>2133</v>
      </c>
      <c r="B777" s="6" t="s">
        <v>2151</v>
      </c>
      <c r="C777" s="344"/>
      <c r="D777" s="345"/>
      <c r="E777" s="346"/>
      <c r="F777" s="347"/>
      <c r="G777" s="334"/>
      <c r="H777" s="334"/>
    </row>
    <row r="778" spans="1:8" s="324" customFormat="1" ht="30">
      <c r="A778" s="343"/>
      <c r="B778" s="6" t="s">
        <v>2478</v>
      </c>
      <c r="C778" s="344"/>
      <c r="D778" s="345"/>
      <c r="E778" s="346"/>
      <c r="F778" s="347"/>
      <c r="G778" s="334"/>
      <c r="H778" s="334"/>
    </row>
    <row r="779" spans="1:8" s="324" customFormat="1" ht="409.5">
      <c r="A779" s="343"/>
      <c r="B779" s="348" t="s">
        <v>2152</v>
      </c>
      <c r="C779" s="344"/>
      <c r="D779" s="345"/>
      <c r="E779" s="346"/>
      <c r="F779" s="347"/>
      <c r="G779" s="334"/>
      <c r="H779" s="334"/>
    </row>
    <row r="780" spans="1:8" s="324" customFormat="1">
      <c r="A780" s="343" t="s">
        <v>2133</v>
      </c>
      <c r="B780" s="6" t="s">
        <v>2153</v>
      </c>
      <c r="C780" s="344"/>
      <c r="D780" s="345"/>
      <c r="E780" s="346"/>
      <c r="F780" s="347"/>
      <c r="G780" s="334"/>
      <c r="H780" s="334"/>
    </row>
    <row r="781" spans="1:8" s="324" customFormat="1" ht="30">
      <c r="A781" s="343"/>
      <c r="B781" s="6" t="s">
        <v>2474</v>
      </c>
      <c r="C781" s="344"/>
      <c r="D781" s="345"/>
      <c r="E781" s="346"/>
      <c r="F781" s="347"/>
      <c r="G781" s="334"/>
      <c r="H781" s="334"/>
    </row>
    <row r="782" spans="1:8" s="324" customFormat="1" ht="375">
      <c r="A782" s="343"/>
      <c r="B782" s="6" t="s">
        <v>2154</v>
      </c>
      <c r="C782" s="344"/>
      <c r="D782" s="345"/>
      <c r="E782" s="346"/>
      <c r="F782" s="347"/>
      <c r="G782" s="334"/>
      <c r="H782" s="334"/>
    </row>
    <row r="783" spans="1:8" s="324" customFormat="1">
      <c r="A783" s="343" t="s">
        <v>2133</v>
      </c>
      <c r="B783" s="6" t="s">
        <v>2155</v>
      </c>
      <c r="C783" s="344"/>
      <c r="D783" s="345"/>
      <c r="E783" s="346"/>
      <c r="F783" s="347"/>
      <c r="G783" s="334"/>
      <c r="H783" s="334"/>
    </row>
    <row r="784" spans="1:8" s="324" customFormat="1" ht="30">
      <c r="A784" s="343"/>
      <c r="B784" s="6" t="s">
        <v>2474</v>
      </c>
      <c r="C784" s="344"/>
      <c r="D784" s="345"/>
      <c r="E784" s="346"/>
      <c r="F784" s="347"/>
      <c r="G784" s="334"/>
      <c r="H784" s="334"/>
    </row>
    <row r="785" spans="1:8" s="324" customFormat="1" ht="240">
      <c r="A785" s="343"/>
      <c r="B785" s="6" t="s">
        <v>2156</v>
      </c>
      <c r="C785" s="344"/>
      <c r="D785" s="345"/>
      <c r="E785" s="346"/>
      <c r="F785" s="347"/>
      <c r="G785" s="334"/>
      <c r="H785" s="334"/>
    </row>
    <row r="786" spans="1:8" s="324" customFormat="1" ht="30">
      <c r="A786" s="343" t="s">
        <v>2133</v>
      </c>
      <c r="B786" s="6" t="s">
        <v>2157</v>
      </c>
      <c r="C786" s="344"/>
      <c r="D786" s="345"/>
      <c r="E786" s="346"/>
      <c r="F786" s="347"/>
      <c r="G786" s="334"/>
      <c r="H786" s="334"/>
    </row>
    <row r="787" spans="1:8" s="324" customFormat="1" ht="30">
      <c r="A787" s="343"/>
      <c r="B787" s="6" t="s">
        <v>2479</v>
      </c>
      <c r="C787" s="344"/>
      <c r="D787" s="345"/>
      <c r="E787" s="346"/>
      <c r="F787" s="347"/>
      <c r="G787" s="334"/>
      <c r="H787" s="334"/>
    </row>
    <row r="788" spans="1:8" s="324" customFormat="1" ht="165">
      <c r="A788" s="343"/>
      <c r="B788" s="6" t="s">
        <v>2158</v>
      </c>
      <c r="C788" s="344"/>
      <c r="D788" s="345"/>
      <c r="E788" s="346"/>
      <c r="F788" s="347"/>
      <c r="G788" s="334"/>
      <c r="H788" s="334"/>
    </row>
    <row r="789" spans="1:8" s="324" customFormat="1" ht="30">
      <c r="A789" s="343" t="s">
        <v>2133</v>
      </c>
      <c r="B789" s="6" t="s">
        <v>2159</v>
      </c>
      <c r="C789" s="344"/>
      <c r="D789" s="345"/>
      <c r="E789" s="346"/>
      <c r="F789" s="347"/>
      <c r="G789" s="334"/>
      <c r="H789" s="334"/>
    </row>
    <row r="790" spans="1:8" s="324" customFormat="1" ht="30">
      <c r="A790" s="343"/>
      <c r="B790" s="6" t="s">
        <v>2479</v>
      </c>
      <c r="C790" s="344"/>
      <c r="D790" s="345"/>
      <c r="E790" s="346"/>
      <c r="F790" s="347"/>
      <c r="G790" s="334"/>
      <c r="H790" s="334"/>
    </row>
    <row r="791" spans="1:8" s="324" customFormat="1" ht="150">
      <c r="A791" s="343"/>
      <c r="B791" s="6" t="s">
        <v>2160</v>
      </c>
      <c r="C791" s="344"/>
      <c r="D791" s="345"/>
      <c r="E791" s="346"/>
      <c r="F791" s="347"/>
      <c r="G791" s="334"/>
      <c r="H791" s="334"/>
    </row>
    <row r="792" spans="1:8" s="324" customFormat="1">
      <c r="A792" s="343" t="s">
        <v>2133</v>
      </c>
      <c r="B792" s="6" t="s">
        <v>2161</v>
      </c>
      <c r="C792" s="344"/>
      <c r="D792" s="345"/>
      <c r="E792" s="346"/>
      <c r="F792" s="347"/>
      <c r="G792" s="334"/>
      <c r="H792" s="334"/>
    </row>
    <row r="793" spans="1:8" s="324" customFormat="1" ht="30">
      <c r="A793" s="343"/>
      <c r="B793" s="6" t="s">
        <v>2474</v>
      </c>
      <c r="C793" s="344"/>
      <c r="D793" s="345"/>
      <c r="E793" s="346"/>
      <c r="F793" s="347"/>
      <c r="G793" s="334"/>
      <c r="H793" s="334"/>
    </row>
    <row r="794" spans="1:8" s="324" customFormat="1" ht="120">
      <c r="A794" s="343"/>
      <c r="B794" s="6" t="s">
        <v>2162</v>
      </c>
      <c r="C794" s="344"/>
      <c r="D794" s="345"/>
      <c r="E794" s="346"/>
      <c r="F794" s="347"/>
      <c r="G794" s="334"/>
      <c r="H794" s="334"/>
    </row>
    <row r="795" spans="1:8" s="324" customFormat="1">
      <c r="A795" s="343" t="s">
        <v>2133</v>
      </c>
      <c r="B795" s="6" t="s">
        <v>2163</v>
      </c>
      <c r="C795" s="344"/>
      <c r="D795" s="345"/>
      <c r="E795" s="346"/>
      <c r="F795" s="347"/>
      <c r="G795" s="334"/>
      <c r="H795" s="334"/>
    </row>
    <row r="796" spans="1:8" s="324" customFormat="1" ht="30">
      <c r="A796" s="343"/>
      <c r="B796" s="6" t="s">
        <v>2474</v>
      </c>
      <c r="C796" s="344"/>
      <c r="D796" s="345"/>
      <c r="E796" s="346"/>
      <c r="F796" s="347"/>
      <c r="G796" s="334"/>
      <c r="H796" s="334"/>
    </row>
    <row r="797" spans="1:8" s="324" customFormat="1" ht="105">
      <c r="A797" s="343"/>
      <c r="B797" s="6" t="s">
        <v>2164</v>
      </c>
      <c r="C797" s="344"/>
      <c r="D797" s="345"/>
      <c r="E797" s="346"/>
      <c r="F797" s="347"/>
      <c r="G797" s="334"/>
      <c r="H797" s="334"/>
    </row>
    <row r="798" spans="1:8" s="324" customFormat="1" ht="30">
      <c r="A798" s="343" t="s">
        <v>2133</v>
      </c>
      <c r="B798" s="6" t="s">
        <v>2165</v>
      </c>
      <c r="C798" s="344"/>
      <c r="D798" s="345"/>
      <c r="E798" s="346"/>
      <c r="F798" s="347"/>
      <c r="G798" s="334"/>
      <c r="H798" s="334"/>
    </row>
    <row r="799" spans="1:8" s="324" customFormat="1" ht="30">
      <c r="A799" s="343"/>
      <c r="B799" s="6" t="s">
        <v>2474</v>
      </c>
      <c r="C799" s="344"/>
      <c r="D799" s="345"/>
      <c r="E799" s="346"/>
      <c r="F799" s="347"/>
      <c r="G799" s="334"/>
      <c r="H799" s="334"/>
    </row>
    <row r="800" spans="1:8" s="324" customFormat="1" ht="195">
      <c r="A800" s="343"/>
      <c r="B800" s="6" t="s">
        <v>2166</v>
      </c>
      <c r="C800" s="344"/>
      <c r="D800" s="345"/>
      <c r="E800" s="346"/>
      <c r="F800" s="347"/>
      <c r="G800" s="334"/>
      <c r="H800" s="334"/>
    </row>
    <row r="801" spans="1:8" s="324" customFormat="1">
      <c r="A801" s="343" t="s">
        <v>2133</v>
      </c>
      <c r="B801" s="6" t="s">
        <v>2167</v>
      </c>
      <c r="C801" s="344"/>
      <c r="D801" s="345"/>
      <c r="E801" s="346"/>
      <c r="F801" s="347"/>
      <c r="G801" s="334"/>
      <c r="H801" s="334"/>
    </row>
    <row r="802" spans="1:8" s="324" customFormat="1">
      <c r="A802" s="343"/>
      <c r="B802" s="6" t="s">
        <v>2480</v>
      </c>
      <c r="C802" s="344"/>
      <c r="D802" s="345"/>
      <c r="E802" s="346"/>
      <c r="F802" s="347"/>
      <c r="G802" s="334"/>
      <c r="H802" s="334"/>
    </row>
    <row r="803" spans="1:8" s="324" customFormat="1" ht="45">
      <c r="A803" s="343"/>
      <c r="B803" s="6" t="s">
        <v>2168</v>
      </c>
      <c r="C803" s="344"/>
      <c r="D803" s="345"/>
      <c r="E803" s="346"/>
      <c r="F803" s="347"/>
      <c r="G803" s="334"/>
      <c r="H803" s="334"/>
    </row>
    <row r="804" spans="1:8" s="324" customFormat="1">
      <c r="A804" s="343" t="s">
        <v>2133</v>
      </c>
      <c r="B804" s="6" t="s">
        <v>2169</v>
      </c>
      <c r="C804" s="344"/>
      <c r="D804" s="345"/>
      <c r="E804" s="346"/>
      <c r="F804" s="347"/>
      <c r="G804" s="334"/>
      <c r="H804" s="334"/>
    </row>
    <row r="805" spans="1:8" s="324" customFormat="1" ht="30">
      <c r="A805" s="343"/>
      <c r="B805" s="6" t="s">
        <v>2474</v>
      </c>
      <c r="C805" s="344"/>
      <c r="D805" s="345"/>
      <c r="E805" s="346"/>
      <c r="F805" s="347"/>
      <c r="G805" s="334"/>
      <c r="H805" s="334"/>
    </row>
    <row r="806" spans="1:8" s="324" customFormat="1" ht="45">
      <c r="A806" s="343"/>
      <c r="B806" s="6" t="s">
        <v>2170</v>
      </c>
      <c r="C806" s="344"/>
      <c r="D806" s="345"/>
      <c r="E806" s="346"/>
      <c r="F806" s="347"/>
      <c r="G806" s="334"/>
      <c r="H806" s="334"/>
    </row>
    <row r="807" spans="1:8" s="324" customFormat="1" ht="30">
      <c r="A807" s="343" t="s">
        <v>2133</v>
      </c>
      <c r="B807" s="6" t="s">
        <v>2171</v>
      </c>
      <c r="C807" s="344"/>
      <c r="D807" s="345"/>
      <c r="E807" s="346"/>
      <c r="F807" s="347"/>
      <c r="G807" s="334"/>
      <c r="H807" s="334"/>
    </row>
    <row r="808" spans="1:8" s="324" customFormat="1" ht="30">
      <c r="A808" s="343"/>
      <c r="B808" s="6" t="s">
        <v>2474</v>
      </c>
      <c r="C808" s="344"/>
      <c r="D808" s="345"/>
      <c r="E808" s="346"/>
      <c r="F808" s="347"/>
      <c r="G808" s="334"/>
      <c r="H808" s="334"/>
    </row>
    <row r="809" spans="1:8" s="324" customFormat="1" ht="60">
      <c r="A809" s="343"/>
      <c r="B809" s="6" t="s">
        <v>2172</v>
      </c>
      <c r="C809" s="344"/>
      <c r="D809" s="345"/>
      <c r="E809" s="346"/>
      <c r="F809" s="347"/>
      <c r="G809" s="334"/>
      <c r="H809" s="334"/>
    </row>
    <row r="810" spans="1:8" s="324" customFormat="1" ht="30">
      <c r="A810" s="343" t="s">
        <v>2133</v>
      </c>
      <c r="B810" s="6" t="s">
        <v>2173</v>
      </c>
      <c r="C810" s="344"/>
      <c r="D810" s="345"/>
      <c r="E810" s="346"/>
      <c r="F810" s="347"/>
      <c r="G810" s="334"/>
      <c r="H810" s="334"/>
    </row>
    <row r="811" spans="1:8" s="324" customFormat="1" ht="30">
      <c r="A811" s="343"/>
      <c r="B811" s="6" t="s">
        <v>2474</v>
      </c>
      <c r="C811" s="344"/>
      <c r="D811" s="345"/>
      <c r="E811" s="346"/>
      <c r="F811" s="347"/>
      <c r="G811" s="334"/>
      <c r="H811" s="334"/>
    </row>
    <row r="812" spans="1:8" s="324" customFormat="1" ht="150">
      <c r="A812" s="343"/>
      <c r="B812" s="6" t="s">
        <v>2174</v>
      </c>
      <c r="C812" s="344"/>
      <c r="D812" s="345"/>
      <c r="E812" s="346"/>
      <c r="F812" s="347"/>
      <c r="G812" s="334"/>
      <c r="H812" s="334"/>
    </row>
    <row r="813" spans="1:8" s="324" customFormat="1" ht="30">
      <c r="A813" s="343" t="s">
        <v>2133</v>
      </c>
      <c r="B813" s="6" t="s">
        <v>2175</v>
      </c>
      <c r="C813" s="344"/>
      <c r="D813" s="345"/>
      <c r="E813" s="346"/>
      <c r="F813" s="347"/>
      <c r="G813" s="334"/>
      <c r="H813" s="334"/>
    </row>
    <row r="814" spans="1:8" s="324" customFormat="1" ht="30">
      <c r="A814" s="343"/>
      <c r="B814" s="6" t="s">
        <v>2475</v>
      </c>
      <c r="C814" s="344"/>
      <c r="D814" s="345"/>
      <c r="E814" s="346"/>
      <c r="F814" s="347"/>
      <c r="G814" s="334"/>
      <c r="H814" s="334"/>
    </row>
    <row r="815" spans="1:8" s="324" customFormat="1" ht="120">
      <c r="A815" s="343"/>
      <c r="B815" s="6" t="s">
        <v>2176</v>
      </c>
      <c r="C815" s="344"/>
      <c r="D815" s="345"/>
      <c r="E815" s="346"/>
      <c r="F815" s="347"/>
      <c r="G815" s="334"/>
      <c r="H815" s="334"/>
    </row>
    <row r="816" spans="1:8" s="324" customFormat="1">
      <c r="A816" s="343" t="s">
        <v>2133</v>
      </c>
      <c r="B816" s="6" t="s">
        <v>2177</v>
      </c>
      <c r="C816" s="344"/>
      <c r="D816" s="345"/>
      <c r="E816" s="346"/>
      <c r="F816" s="347"/>
      <c r="G816" s="334"/>
      <c r="H816" s="334"/>
    </row>
    <row r="817" spans="1:8" s="324" customFormat="1" ht="30">
      <c r="A817" s="343"/>
      <c r="B817" s="6" t="s">
        <v>2475</v>
      </c>
      <c r="C817" s="344"/>
      <c r="D817" s="345"/>
      <c r="E817" s="346"/>
      <c r="F817" s="347"/>
      <c r="G817" s="334"/>
      <c r="H817" s="334"/>
    </row>
    <row r="818" spans="1:8" s="324" customFormat="1" ht="30">
      <c r="A818" s="343"/>
      <c r="B818" s="6" t="s">
        <v>2178</v>
      </c>
      <c r="C818" s="344"/>
      <c r="D818" s="345"/>
      <c r="E818" s="346"/>
      <c r="F818" s="347"/>
      <c r="G818" s="334"/>
      <c r="H818" s="334"/>
    </row>
    <row r="819" spans="1:8" s="324" customFormat="1">
      <c r="A819" s="343" t="s">
        <v>2130</v>
      </c>
      <c r="B819" s="6" t="s">
        <v>2179</v>
      </c>
      <c r="C819" s="344"/>
      <c r="D819" s="345"/>
      <c r="E819" s="346"/>
      <c r="F819" s="347"/>
      <c r="G819" s="334"/>
      <c r="H819" s="334"/>
    </row>
    <row r="820" spans="1:8" s="324" customFormat="1" ht="30">
      <c r="A820" s="343"/>
      <c r="B820" s="6" t="s">
        <v>2481</v>
      </c>
      <c r="C820" s="344"/>
      <c r="D820" s="345"/>
      <c r="E820" s="346"/>
      <c r="F820" s="347"/>
      <c r="G820" s="334"/>
      <c r="H820" s="334"/>
    </row>
    <row r="821" spans="1:8" s="324" customFormat="1" ht="240">
      <c r="A821" s="343"/>
      <c r="B821" s="6" t="s">
        <v>2180</v>
      </c>
      <c r="C821" s="344"/>
      <c r="D821" s="345"/>
      <c r="E821" s="346"/>
      <c r="F821" s="347"/>
      <c r="G821" s="334"/>
      <c r="H821" s="334"/>
    </row>
    <row r="822" spans="1:8" s="324" customFormat="1">
      <c r="A822" s="343"/>
      <c r="B822" s="6"/>
      <c r="C822" s="344"/>
      <c r="D822" s="345"/>
      <c r="E822" s="346"/>
      <c r="F822" s="347"/>
      <c r="G822" s="334"/>
      <c r="H822" s="334"/>
    </row>
    <row r="823" spans="1:8" s="324" customFormat="1">
      <c r="A823" s="343"/>
      <c r="B823" s="6"/>
      <c r="C823" s="344"/>
      <c r="D823" s="345"/>
      <c r="E823" s="346"/>
      <c r="F823" s="347"/>
      <c r="G823" s="334"/>
      <c r="H823" s="334"/>
    </row>
    <row r="824" spans="1:8" s="324" customFormat="1">
      <c r="A824" s="343" t="s">
        <v>294</v>
      </c>
      <c r="B824" s="6" t="s">
        <v>2181</v>
      </c>
      <c r="C824" s="344"/>
      <c r="D824" s="345"/>
      <c r="E824" s="346"/>
      <c r="F824" s="347"/>
      <c r="G824" s="334"/>
      <c r="H824" s="334"/>
    </row>
    <row r="825" spans="1:8" s="324" customFormat="1">
      <c r="A825" s="343"/>
      <c r="B825" s="6"/>
      <c r="C825" s="344"/>
      <c r="D825" s="345"/>
      <c r="E825" s="346"/>
      <c r="F825" s="347"/>
      <c r="G825" s="334"/>
      <c r="H825" s="334"/>
    </row>
    <row r="826" spans="1:8" s="324" customFormat="1">
      <c r="A826" s="343" t="s">
        <v>651</v>
      </c>
      <c r="B826" s="6" t="s">
        <v>2182</v>
      </c>
      <c r="C826" s="344"/>
      <c r="D826" s="345"/>
      <c r="E826" s="346"/>
      <c r="F826" s="347"/>
      <c r="G826" s="334"/>
      <c r="H826" s="334"/>
    </row>
    <row r="827" spans="1:8" s="324" customFormat="1" ht="30">
      <c r="A827" s="343"/>
      <c r="B827" s="6" t="s">
        <v>2183</v>
      </c>
      <c r="C827" s="344" t="s">
        <v>18</v>
      </c>
      <c r="D827" s="345">
        <v>24</v>
      </c>
      <c r="E827" s="346"/>
      <c r="F827" s="347"/>
      <c r="G827" s="334"/>
      <c r="H827" s="334"/>
    </row>
    <row r="828" spans="1:8" s="324" customFormat="1" ht="180">
      <c r="A828" s="343"/>
      <c r="B828" s="6" t="s">
        <v>2184</v>
      </c>
      <c r="C828" s="344"/>
      <c r="D828" s="345"/>
      <c r="E828" s="346"/>
      <c r="F828" s="347"/>
      <c r="G828" s="334"/>
      <c r="H828" s="334"/>
    </row>
    <row r="829" spans="1:8" s="324" customFormat="1">
      <c r="A829" s="343" t="s">
        <v>2185</v>
      </c>
      <c r="B829" s="6" t="s">
        <v>2186</v>
      </c>
      <c r="C829" s="344"/>
      <c r="D829" s="345"/>
      <c r="E829" s="346"/>
      <c r="F829" s="347"/>
      <c r="G829" s="334"/>
      <c r="H829" s="334"/>
    </row>
    <row r="830" spans="1:8" s="324" customFormat="1" ht="30">
      <c r="A830" s="343"/>
      <c r="B830" s="6" t="s">
        <v>2183</v>
      </c>
      <c r="C830" s="344" t="s">
        <v>18</v>
      </c>
      <c r="D830" s="345">
        <v>12</v>
      </c>
      <c r="E830" s="346"/>
      <c r="F830" s="347"/>
      <c r="G830" s="334"/>
      <c r="H830" s="334"/>
    </row>
    <row r="831" spans="1:8" s="324" customFormat="1" ht="180">
      <c r="A831" s="343"/>
      <c r="B831" s="6" t="s">
        <v>2187</v>
      </c>
      <c r="C831" s="344"/>
      <c r="D831" s="345"/>
      <c r="E831" s="346"/>
      <c r="F831" s="347"/>
      <c r="G831" s="334"/>
      <c r="H831" s="334"/>
    </row>
    <row r="832" spans="1:8" s="324" customFormat="1" ht="30">
      <c r="A832" s="343" t="s">
        <v>2188</v>
      </c>
      <c r="B832" s="6" t="s">
        <v>2189</v>
      </c>
      <c r="C832" s="344"/>
      <c r="D832" s="345"/>
      <c r="E832" s="346"/>
      <c r="F832" s="347"/>
      <c r="G832" s="334"/>
      <c r="H832" s="334"/>
    </row>
    <row r="833" spans="1:8" s="324" customFormat="1" ht="30">
      <c r="A833" s="343"/>
      <c r="B833" s="6" t="s">
        <v>2190</v>
      </c>
      <c r="C833" s="344"/>
      <c r="D833" s="345"/>
      <c r="E833" s="346"/>
      <c r="F833" s="347"/>
      <c r="G833" s="334"/>
      <c r="H833" s="334"/>
    </row>
    <row r="834" spans="1:8" s="324" customFormat="1">
      <c r="A834" s="343"/>
      <c r="B834" s="6" t="s">
        <v>2191</v>
      </c>
      <c r="C834" s="344" t="s">
        <v>18</v>
      </c>
      <c r="D834" s="345">
        <v>1</v>
      </c>
      <c r="E834" s="346"/>
      <c r="F834" s="347"/>
      <c r="G834" s="334"/>
      <c r="H834" s="334"/>
    </row>
    <row r="835" spans="1:8" s="324" customFormat="1" ht="180">
      <c r="A835" s="343"/>
      <c r="B835" s="6" t="s">
        <v>2192</v>
      </c>
      <c r="C835" s="344"/>
      <c r="D835" s="345"/>
      <c r="E835" s="346"/>
      <c r="F835" s="347"/>
      <c r="G835" s="334"/>
      <c r="H835" s="334"/>
    </row>
    <row r="836" spans="1:8" s="324" customFormat="1" ht="30">
      <c r="A836" s="343" t="s">
        <v>2193</v>
      </c>
      <c r="B836" s="6" t="s">
        <v>2194</v>
      </c>
      <c r="C836" s="344"/>
      <c r="D836" s="345"/>
      <c r="E836" s="346"/>
      <c r="F836" s="347"/>
      <c r="G836" s="334"/>
      <c r="H836" s="334"/>
    </row>
    <row r="837" spans="1:8" s="324" customFormat="1" ht="30">
      <c r="A837" s="343"/>
      <c r="B837" s="6" t="s">
        <v>2195</v>
      </c>
      <c r="C837" s="344"/>
      <c r="D837" s="345"/>
      <c r="E837" s="346"/>
      <c r="F837" s="347"/>
      <c r="G837" s="334"/>
      <c r="H837" s="334"/>
    </row>
    <row r="838" spans="1:8" s="324" customFormat="1">
      <c r="A838" s="343"/>
      <c r="B838" s="6" t="s">
        <v>2191</v>
      </c>
      <c r="C838" s="344" t="s">
        <v>18</v>
      </c>
      <c r="D838" s="345">
        <v>1</v>
      </c>
      <c r="E838" s="346"/>
      <c r="F838" s="347"/>
      <c r="G838" s="334"/>
      <c r="H838" s="334"/>
    </row>
    <row r="839" spans="1:8" s="324" customFormat="1" ht="150">
      <c r="A839" s="343"/>
      <c r="B839" s="6" t="s">
        <v>2196</v>
      </c>
      <c r="C839" s="344"/>
      <c r="D839" s="345"/>
      <c r="E839" s="346"/>
      <c r="F839" s="347"/>
      <c r="G839" s="334"/>
      <c r="H839" s="334"/>
    </row>
    <row r="840" spans="1:8" s="324" customFormat="1" ht="30">
      <c r="A840" s="343" t="s">
        <v>2197</v>
      </c>
      <c r="B840" s="6" t="s">
        <v>2198</v>
      </c>
      <c r="C840" s="344"/>
      <c r="D840" s="345"/>
      <c r="E840" s="346"/>
      <c r="F840" s="347"/>
      <c r="G840" s="334"/>
      <c r="H840" s="334"/>
    </row>
    <row r="841" spans="1:8" s="324" customFormat="1" ht="30">
      <c r="A841" s="343"/>
      <c r="B841" s="6" t="s">
        <v>2183</v>
      </c>
      <c r="C841" s="344" t="s">
        <v>18</v>
      </c>
      <c r="D841" s="345">
        <v>3</v>
      </c>
      <c r="E841" s="346"/>
      <c r="F841" s="347"/>
      <c r="G841" s="334"/>
      <c r="H841" s="334"/>
    </row>
    <row r="842" spans="1:8" s="324" customFormat="1" ht="60">
      <c r="A842" s="343"/>
      <c r="B842" s="6" t="s">
        <v>2199</v>
      </c>
      <c r="C842" s="344"/>
      <c r="D842" s="345"/>
      <c r="E842" s="346"/>
      <c r="F842" s="347"/>
      <c r="G842" s="334"/>
      <c r="H842" s="334"/>
    </row>
    <row r="843" spans="1:8" s="324" customFormat="1" ht="30">
      <c r="A843" s="343" t="s">
        <v>2200</v>
      </c>
      <c r="B843" s="6" t="s">
        <v>2201</v>
      </c>
      <c r="C843" s="344"/>
      <c r="D843" s="345"/>
      <c r="E843" s="346"/>
      <c r="F843" s="347"/>
      <c r="G843" s="334"/>
      <c r="H843" s="334"/>
    </row>
    <row r="844" spans="1:8" s="324" customFormat="1" ht="30">
      <c r="A844" s="343"/>
      <c r="B844" s="6" t="s">
        <v>2183</v>
      </c>
      <c r="C844" s="344" t="s">
        <v>18</v>
      </c>
      <c r="D844" s="345">
        <v>1</v>
      </c>
      <c r="E844" s="346"/>
      <c r="F844" s="347"/>
      <c r="G844" s="334"/>
      <c r="H844" s="334"/>
    </row>
    <row r="845" spans="1:8" s="324" customFormat="1" ht="315">
      <c r="A845" s="343"/>
      <c r="B845" s="6" t="s">
        <v>2202</v>
      </c>
      <c r="C845" s="344"/>
      <c r="D845" s="345"/>
      <c r="E845" s="346"/>
      <c r="F845" s="347"/>
      <c r="G845" s="334"/>
      <c r="H845" s="334"/>
    </row>
    <row r="846" spans="1:8" s="324" customFormat="1">
      <c r="A846" s="343" t="s">
        <v>2203</v>
      </c>
      <c r="B846" s="6" t="s">
        <v>2204</v>
      </c>
      <c r="C846" s="344"/>
      <c r="D846" s="345"/>
      <c r="E846" s="346"/>
      <c r="F846" s="347"/>
      <c r="G846" s="334"/>
      <c r="H846" s="334"/>
    </row>
    <row r="847" spans="1:8" s="324" customFormat="1">
      <c r="A847" s="343"/>
      <c r="B847" s="6" t="s">
        <v>2205</v>
      </c>
      <c r="C847" s="344"/>
      <c r="D847" s="345"/>
      <c r="E847" s="346"/>
      <c r="F847" s="347"/>
      <c r="G847" s="334"/>
      <c r="H847" s="334"/>
    </row>
    <row r="848" spans="1:8" s="324" customFormat="1">
      <c r="A848" s="343"/>
      <c r="B848" s="6" t="s">
        <v>2206</v>
      </c>
      <c r="C848" s="344" t="s">
        <v>18</v>
      </c>
      <c r="D848" s="345">
        <v>1</v>
      </c>
      <c r="E848" s="346"/>
      <c r="F848" s="347"/>
      <c r="G848" s="334"/>
      <c r="H848" s="334"/>
    </row>
    <row r="849" spans="1:8" s="324" customFormat="1" ht="45">
      <c r="A849" s="343"/>
      <c r="B849" s="6" t="s">
        <v>2207</v>
      </c>
      <c r="C849" s="344"/>
      <c r="D849" s="345"/>
      <c r="E849" s="346"/>
      <c r="F849" s="347"/>
      <c r="G849" s="334"/>
      <c r="H849" s="334"/>
    </row>
    <row r="850" spans="1:8" s="324" customFormat="1">
      <c r="A850" s="343"/>
      <c r="B850" s="6"/>
      <c r="C850" s="344"/>
      <c r="D850" s="345"/>
      <c r="E850" s="346"/>
      <c r="F850" s="347"/>
      <c r="G850" s="334"/>
      <c r="H850" s="334"/>
    </row>
    <row r="851" spans="1:8" s="324" customFormat="1">
      <c r="A851" s="343"/>
      <c r="B851" s="6"/>
      <c r="C851" s="344"/>
      <c r="D851" s="345"/>
      <c r="E851" s="346"/>
      <c r="F851" s="347"/>
      <c r="G851" s="334"/>
      <c r="H851" s="334"/>
    </row>
    <row r="852" spans="1:8" s="324" customFormat="1">
      <c r="A852" s="343" t="s">
        <v>288</v>
      </c>
      <c r="B852" s="6" t="s">
        <v>2208</v>
      </c>
      <c r="C852" s="344"/>
      <c r="D852" s="345"/>
      <c r="E852" s="346"/>
      <c r="F852" s="347"/>
      <c r="G852" s="334"/>
      <c r="H852" s="334"/>
    </row>
    <row r="853" spans="1:8" s="324" customFormat="1">
      <c r="A853" s="343"/>
      <c r="B853" s="6"/>
      <c r="C853" s="344"/>
      <c r="D853" s="345"/>
      <c r="E853" s="346"/>
      <c r="F853" s="347"/>
      <c r="G853" s="334"/>
      <c r="H853" s="334"/>
    </row>
    <row r="854" spans="1:8" s="324" customFormat="1" ht="30">
      <c r="A854" s="343" t="s">
        <v>2209</v>
      </c>
      <c r="B854" s="6" t="s">
        <v>2210</v>
      </c>
      <c r="C854" s="344"/>
      <c r="D854" s="345"/>
      <c r="E854" s="346"/>
      <c r="F854" s="347"/>
      <c r="G854" s="334"/>
      <c r="H854" s="334"/>
    </row>
    <row r="855" spans="1:8" s="324" customFormat="1" ht="30">
      <c r="A855" s="343"/>
      <c r="B855" s="6" t="s">
        <v>2183</v>
      </c>
      <c r="C855" s="344" t="s">
        <v>18</v>
      </c>
      <c r="D855" s="345">
        <v>4</v>
      </c>
      <c r="E855" s="346"/>
      <c r="F855" s="347"/>
      <c r="G855" s="334"/>
      <c r="H855" s="334"/>
    </row>
    <row r="856" spans="1:8" s="324" customFormat="1" ht="255">
      <c r="A856" s="343"/>
      <c r="B856" s="6" t="s">
        <v>2211</v>
      </c>
      <c r="C856" s="344"/>
      <c r="D856" s="345"/>
      <c r="E856" s="346"/>
      <c r="F856" s="347"/>
      <c r="G856" s="334"/>
      <c r="H856" s="334"/>
    </row>
    <row r="857" spans="1:8" s="324" customFormat="1">
      <c r="A857" s="343" t="s">
        <v>2212</v>
      </c>
      <c r="B857" s="6" t="s">
        <v>2213</v>
      </c>
      <c r="C857" s="344"/>
      <c r="D857" s="345"/>
      <c r="E857" s="346"/>
      <c r="F857" s="347"/>
      <c r="G857" s="334"/>
      <c r="H857" s="334"/>
    </row>
    <row r="858" spans="1:8" s="324" customFormat="1" ht="30">
      <c r="A858" s="343"/>
      <c r="B858" s="6" t="s">
        <v>2183</v>
      </c>
      <c r="C858" s="344" t="s">
        <v>18</v>
      </c>
      <c r="D858" s="345">
        <v>4</v>
      </c>
      <c r="E858" s="346"/>
      <c r="F858" s="347"/>
      <c r="G858" s="334"/>
      <c r="H858" s="334"/>
    </row>
    <row r="859" spans="1:8" s="324" customFormat="1" ht="165">
      <c r="A859" s="343"/>
      <c r="B859" s="6" t="s">
        <v>2214</v>
      </c>
      <c r="C859" s="344"/>
      <c r="D859" s="345"/>
      <c r="E859" s="346"/>
      <c r="F859" s="347"/>
      <c r="G859" s="334"/>
      <c r="H859" s="334"/>
    </row>
    <row r="860" spans="1:8" s="324" customFormat="1" ht="30">
      <c r="A860" s="343" t="s">
        <v>2215</v>
      </c>
      <c r="B860" s="6" t="s">
        <v>2216</v>
      </c>
      <c r="C860" s="344"/>
      <c r="D860" s="345"/>
      <c r="E860" s="346"/>
      <c r="F860" s="347"/>
      <c r="G860" s="334"/>
      <c r="H860" s="334"/>
    </row>
    <row r="861" spans="1:8" s="324" customFormat="1">
      <c r="A861" s="343"/>
      <c r="B861" s="6" t="s">
        <v>2217</v>
      </c>
      <c r="C861" s="344"/>
      <c r="D861" s="345"/>
      <c r="E861" s="346"/>
      <c r="F861" s="347"/>
      <c r="G861" s="334"/>
      <c r="H861" s="334"/>
    </row>
    <row r="862" spans="1:8" s="324" customFormat="1" ht="30">
      <c r="A862" s="343"/>
      <c r="B862" s="6" t="s">
        <v>2183</v>
      </c>
      <c r="C862" s="344" t="s">
        <v>18</v>
      </c>
      <c r="D862" s="345">
        <v>4</v>
      </c>
      <c r="E862" s="346"/>
      <c r="F862" s="347"/>
      <c r="G862" s="334"/>
      <c r="H862" s="334"/>
    </row>
    <row r="863" spans="1:8" s="324" customFormat="1" ht="375">
      <c r="A863" s="343"/>
      <c r="B863" s="6" t="s">
        <v>2218</v>
      </c>
      <c r="C863" s="344"/>
      <c r="D863" s="345"/>
      <c r="E863" s="346"/>
      <c r="F863" s="347"/>
      <c r="G863" s="334"/>
      <c r="H863" s="334"/>
    </row>
    <row r="864" spans="1:8" s="324" customFormat="1">
      <c r="A864" s="343" t="s">
        <v>2219</v>
      </c>
      <c r="B864" s="6" t="s">
        <v>2220</v>
      </c>
      <c r="C864" s="344"/>
      <c r="D864" s="345"/>
      <c r="E864" s="346"/>
      <c r="F864" s="347"/>
      <c r="G864" s="334"/>
      <c r="H864" s="334"/>
    </row>
    <row r="865" spans="1:8" s="324" customFormat="1" ht="30">
      <c r="A865" s="343"/>
      <c r="B865" s="6" t="s">
        <v>2183</v>
      </c>
      <c r="C865" s="344" t="s">
        <v>18</v>
      </c>
      <c r="D865" s="345">
        <v>4</v>
      </c>
      <c r="E865" s="346"/>
      <c r="F865" s="347"/>
      <c r="G865" s="334"/>
      <c r="H865" s="334"/>
    </row>
    <row r="866" spans="1:8" s="324" customFormat="1" ht="285">
      <c r="A866" s="343"/>
      <c r="B866" s="6" t="s">
        <v>2221</v>
      </c>
      <c r="C866" s="344"/>
      <c r="D866" s="345"/>
      <c r="E866" s="346"/>
      <c r="F866" s="347"/>
      <c r="G866" s="334"/>
      <c r="H866" s="334"/>
    </row>
    <row r="867" spans="1:8" s="324" customFormat="1" ht="30">
      <c r="A867" s="343" t="s">
        <v>2222</v>
      </c>
      <c r="B867" s="6" t="s">
        <v>2223</v>
      </c>
      <c r="C867" s="344"/>
      <c r="D867" s="345"/>
      <c r="E867" s="346"/>
      <c r="F867" s="347"/>
      <c r="G867" s="334"/>
      <c r="H867" s="334"/>
    </row>
    <row r="868" spans="1:8" s="324" customFormat="1">
      <c r="A868" s="343"/>
      <c r="B868" s="6" t="s">
        <v>2224</v>
      </c>
      <c r="C868" s="344"/>
      <c r="D868" s="345"/>
      <c r="E868" s="346"/>
      <c r="F868" s="347"/>
      <c r="G868" s="334"/>
      <c r="H868" s="334"/>
    </row>
    <row r="869" spans="1:8" s="324" customFormat="1">
      <c r="A869" s="343"/>
      <c r="B869" s="6" t="s">
        <v>2191</v>
      </c>
      <c r="C869" s="344" t="s">
        <v>18</v>
      </c>
      <c r="D869" s="345">
        <v>4</v>
      </c>
      <c r="E869" s="346"/>
      <c r="F869" s="347"/>
      <c r="G869" s="334"/>
      <c r="H869" s="334"/>
    </row>
    <row r="870" spans="1:8" s="324" customFormat="1" ht="120">
      <c r="A870" s="343"/>
      <c r="B870" s="6" t="s">
        <v>2225</v>
      </c>
      <c r="C870" s="344"/>
      <c r="D870" s="345"/>
      <c r="E870" s="346"/>
      <c r="F870" s="347"/>
      <c r="G870" s="334"/>
      <c r="H870" s="334"/>
    </row>
    <row r="871" spans="1:8" s="324" customFormat="1">
      <c r="A871" s="343" t="s">
        <v>2226</v>
      </c>
      <c r="B871" s="6" t="s">
        <v>2204</v>
      </c>
      <c r="C871" s="344"/>
      <c r="D871" s="345"/>
      <c r="E871" s="346"/>
      <c r="F871" s="347"/>
      <c r="G871" s="334"/>
      <c r="H871" s="334"/>
    </row>
    <row r="872" spans="1:8" s="324" customFormat="1">
      <c r="A872" s="343"/>
      <c r="B872" s="6" t="s">
        <v>2205</v>
      </c>
      <c r="C872" s="344"/>
      <c r="D872" s="345"/>
      <c r="E872" s="346"/>
      <c r="F872" s="347"/>
      <c r="G872" s="334"/>
      <c r="H872" s="334"/>
    </row>
    <row r="873" spans="1:8" s="324" customFormat="1">
      <c r="A873" s="343"/>
      <c r="B873" s="6" t="s">
        <v>2227</v>
      </c>
      <c r="C873" s="344" t="s">
        <v>76</v>
      </c>
      <c r="D873" s="345">
        <v>4</v>
      </c>
      <c r="E873" s="346"/>
      <c r="F873" s="347"/>
      <c r="G873" s="334"/>
      <c r="H873" s="334"/>
    </row>
    <row r="874" spans="1:8" s="324" customFormat="1" ht="45">
      <c r="A874" s="343"/>
      <c r="B874" s="6" t="s">
        <v>2228</v>
      </c>
      <c r="C874" s="344"/>
      <c r="D874" s="345"/>
      <c r="E874" s="346"/>
      <c r="F874" s="347"/>
      <c r="G874" s="334"/>
      <c r="H874" s="334"/>
    </row>
    <row r="875" spans="1:8" s="324" customFormat="1">
      <c r="A875" s="343" t="s">
        <v>2229</v>
      </c>
      <c r="B875" s="6" t="s">
        <v>2204</v>
      </c>
      <c r="C875" s="344"/>
      <c r="D875" s="345"/>
      <c r="E875" s="346"/>
      <c r="F875" s="347"/>
      <c r="G875" s="334"/>
      <c r="H875" s="334"/>
    </row>
    <row r="876" spans="1:8" s="324" customFormat="1">
      <c r="A876" s="343"/>
      <c r="B876" s="6" t="s">
        <v>2205</v>
      </c>
      <c r="C876" s="344"/>
      <c r="D876" s="345"/>
      <c r="E876" s="346"/>
      <c r="F876" s="347"/>
      <c r="G876" s="334"/>
      <c r="H876" s="334"/>
    </row>
    <row r="877" spans="1:8" s="324" customFormat="1">
      <c r="A877" s="343"/>
      <c r="B877" s="6" t="s">
        <v>2227</v>
      </c>
      <c r="C877" s="344" t="s">
        <v>76</v>
      </c>
      <c r="D877" s="345">
        <v>4</v>
      </c>
      <c r="E877" s="346"/>
      <c r="F877" s="347"/>
      <c r="G877" s="334"/>
      <c r="H877" s="334"/>
    </row>
    <row r="878" spans="1:8" s="324" customFormat="1" ht="45">
      <c r="A878" s="343"/>
      <c r="B878" s="6" t="s">
        <v>2230</v>
      </c>
      <c r="C878" s="344"/>
      <c r="D878" s="345"/>
      <c r="E878" s="346"/>
      <c r="F878" s="347"/>
      <c r="G878" s="334"/>
      <c r="H878" s="334"/>
    </row>
    <row r="879" spans="1:8" s="324" customFormat="1">
      <c r="A879" s="343" t="s">
        <v>2231</v>
      </c>
      <c r="B879" s="6" t="s">
        <v>2204</v>
      </c>
      <c r="C879" s="344"/>
      <c r="D879" s="345"/>
      <c r="E879" s="346"/>
      <c r="F879" s="347"/>
      <c r="G879" s="334"/>
      <c r="H879" s="334"/>
    </row>
    <row r="880" spans="1:8" s="324" customFormat="1">
      <c r="A880" s="343"/>
      <c r="B880" s="6" t="s">
        <v>2205</v>
      </c>
      <c r="C880" s="344"/>
      <c r="D880" s="345"/>
      <c r="E880" s="346"/>
      <c r="F880" s="347"/>
      <c r="G880" s="334"/>
      <c r="H880" s="334"/>
    </row>
    <row r="881" spans="1:8" s="324" customFormat="1">
      <c r="A881" s="343"/>
      <c r="B881" s="6" t="s">
        <v>2227</v>
      </c>
      <c r="C881" s="344" t="s">
        <v>76</v>
      </c>
      <c r="D881" s="345">
        <v>4</v>
      </c>
      <c r="E881" s="346"/>
      <c r="F881" s="347"/>
      <c r="G881" s="334"/>
      <c r="H881" s="334"/>
    </row>
    <row r="882" spans="1:8" s="324" customFormat="1" ht="60">
      <c r="A882" s="343"/>
      <c r="B882" s="6" t="s">
        <v>2232</v>
      </c>
      <c r="C882" s="344"/>
      <c r="D882" s="345"/>
      <c r="E882" s="346"/>
      <c r="F882" s="347"/>
      <c r="G882" s="334"/>
      <c r="H882" s="334"/>
    </row>
    <row r="883" spans="1:8" s="324" customFormat="1" ht="30">
      <c r="A883" s="343" t="s">
        <v>2233</v>
      </c>
      <c r="B883" s="6" t="s">
        <v>2234</v>
      </c>
      <c r="C883" s="344"/>
      <c r="D883" s="345"/>
      <c r="E883" s="346"/>
      <c r="F883" s="347"/>
      <c r="G883" s="334"/>
      <c r="H883" s="334"/>
    </row>
    <row r="884" spans="1:8" s="324" customFormat="1" ht="30">
      <c r="A884" s="343"/>
      <c r="B884" s="6" t="s">
        <v>2235</v>
      </c>
      <c r="C884" s="344" t="s">
        <v>18</v>
      </c>
      <c r="D884" s="345">
        <v>4</v>
      </c>
      <c r="E884" s="346"/>
      <c r="F884" s="347"/>
      <c r="G884" s="334"/>
      <c r="H884" s="334"/>
    </row>
    <row r="885" spans="1:8" s="324" customFormat="1" ht="45">
      <c r="A885" s="343"/>
      <c r="B885" s="6" t="s">
        <v>2236</v>
      </c>
      <c r="C885" s="344"/>
      <c r="D885" s="345"/>
      <c r="E885" s="346"/>
      <c r="F885" s="347"/>
      <c r="G885" s="334"/>
      <c r="H885" s="334"/>
    </row>
    <row r="886" spans="1:8" s="324" customFormat="1">
      <c r="A886" s="343" t="s">
        <v>2237</v>
      </c>
      <c r="B886" s="6" t="s">
        <v>2238</v>
      </c>
      <c r="C886" s="344"/>
      <c r="D886" s="345"/>
      <c r="E886" s="346"/>
      <c r="F886" s="347"/>
      <c r="G886" s="334"/>
      <c r="H886" s="334"/>
    </row>
    <row r="887" spans="1:8" s="324" customFormat="1" ht="30">
      <c r="A887" s="343"/>
      <c r="B887" s="6" t="s">
        <v>2239</v>
      </c>
      <c r="C887" s="344" t="s">
        <v>18</v>
      </c>
      <c r="D887" s="345">
        <v>4</v>
      </c>
      <c r="E887" s="346"/>
      <c r="F887" s="347"/>
      <c r="G887" s="334"/>
      <c r="H887" s="334"/>
    </row>
    <row r="888" spans="1:8" s="324" customFormat="1" ht="90">
      <c r="A888" s="343"/>
      <c r="B888" s="6" t="s">
        <v>2240</v>
      </c>
      <c r="C888" s="344"/>
      <c r="D888" s="345"/>
      <c r="E888" s="346"/>
      <c r="F888" s="347"/>
      <c r="G888" s="334"/>
      <c r="H888" s="334"/>
    </row>
    <row r="889" spans="1:8" s="324" customFormat="1">
      <c r="A889" s="343"/>
      <c r="B889" s="6"/>
      <c r="C889" s="344"/>
      <c r="D889" s="345"/>
      <c r="E889" s="346"/>
      <c r="F889" s="347"/>
      <c r="G889" s="334"/>
      <c r="H889" s="334"/>
    </row>
    <row r="890" spans="1:8" s="324" customFormat="1">
      <c r="A890" s="343"/>
      <c r="B890" s="6"/>
      <c r="C890" s="344"/>
      <c r="D890" s="345"/>
      <c r="E890" s="346"/>
      <c r="F890" s="347"/>
      <c r="G890" s="334"/>
      <c r="H890" s="334"/>
    </row>
    <row r="891" spans="1:8" s="324" customFormat="1">
      <c r="A891" s="343" t="s">
        <v>281</v>
      </c>
      <c r="B891" s="6" t="s">
        <v>2241</v>
      </c>
      <c r="C891" s="344"/>
      <c r="D891" s="345"/>
      <c r="E891" s="346"/>
      <c r="F891" s="347"/>
      <c r="G891" s="334"/>
      <c r="H891" s="334"/>
    </row>
    <row r="892" spans="1:8" s="324" customFormat="1">
      <c r="A892" s="343"/>
      <c r="B892" s="6"/>
      <c r="C892" s="344"/>
      <c r="D892" s="345"/>
      <c r="E892" s="346"/>
      <c r="F892" s="347"/>
      <c r="G892" s="334"/>
      <c r="H892" s="334"/>
    </row>
    <row r="893" spans="1:8" s="324" customFormat="1" ht="30">
      <c r="A893" s="343" t="s">
        <v>2242</v>
      </c>
      <c r="B893" s="6" t="s">
        <v>2243</v>
      </c>
      <c r="C893" s="344"/>
      <c r="D893" s="345"/>
      <c r="E893" s="346"/>
      <c r="F893" s="347"/>
      <c r="G893" s="334"/>
      <c r="H893" s="334"/>
    </row>
    <row r="894" spans="1:8" s="324" customFormat="1" ht="30">
      <c r="A894" s="343"/>
      <c r="B894" s="6" t="s">
        <v>2183</v>
      </c>
      <c r="C894" s="344" t="s">
        <v>18</v>
      </c>
      <c r="D894" s="345">
        <v>2</v>
      </c>
      <c r="E894" s="346"/>
      <c r="F894" s="347"/>
      <c r="G894" s="334"/>
      <c r="H894" s="334"/>
    </row>
    <row r="895" spans="1:8" s="324" customFormat="1" ht="285">
      <c r="A895" s="343"/>
      <c r="B895" s="6" t="s">
        <v>2244</v>
      </c>
      <c r="C895" s="344"/>
      <c r="D895" s="345"/>
      <c r="E895" s="346"/>
      <c r="F895" s="347"/>
      <c r="G895" s="334"/>
      <c r="H895" s="334"/>
    </row>
    <row r="896" spans="1:8" s="324" customFormat="1" ht="30">
      <c r="A896" s="343" t="s">
        <v>656</v>
      </c>
      <c r="B896" s="6" t="s">
        <v>2245</v>
      </c>
      <c r="C896" s="344"/>
      <c r="D896" s="345"/>
      <c r="E896" s="346"/>
      <c r="F896" s="347"/>
      <c r="G896" s="334"/>
      <c r="H896" s="334"/>
    </row>
    <row r="897" spans="1:8" s="324" customFormat="1" ht="30">
      <c r="A897" s="343"/>
      <c r="B897" s="6" t="s">
        <v>2183</v>
      </c>
      <c r="C897" s="344" t="s">
        <v>18</v>
      </c>
      <c r="D897" s="345">
        <v>2</v>
      </c>
      <c r="E897" s="346"/>
      <c r="F897" s="347"/>
      <c r="G897" s="334"/>
      <c r="H897" s="334"/>
    </row>
    <row r="898" spans="1:8" s="324" customFormat="1" ht="210">
      <c r="A898" s="343"/>
      <c r="B898" s="6" t="s">
        <v>2246</v>
      </c>
      <c r="C898" s="344"/>
      <c r="D898" s="345"/>
      <c r="E898" s="346"/>
      <c r="F898" s="347"/>
      <c r="G898" s="334"/>
      <c r="H898" s="334"/>
    </row>
    <row r="899" spans="1:8" s="324" customFormat="1" ht="30">
      <c r="A899" s="343" t="s">
        <v>657</v>
      </c>
      <c r="B899" s="6" t="s">
        <v>2243</v>
      </c>
      <c r="C899" s="344"/>
      <c r="D899" s="345"/>
      <c r="E899" s="346"/>
      <c r="F899" s="347"/>
      <c r="G899" s="334"/>
      <c r="H899" s="334"/>
    </row>
    <row r="900" spans="1:8" s="324" customFormat="1" ht="30">
      <c r="A900" s="343"/>
      <c r="B900" s="6" t="s">
        <v>2183</v>
      </c>
      <c r="C900" s="344" t="s">
        <v>18</v>
      </c>
      <c r="D900" s="345">
        <v>2</v>
      </c>
      <c r="E900" s="346"/>
      <c r="F900" s="347"/>
      <c r="G900" s="334"/>
      <c r="H900" s="334"/>
    </row>
    <row r="901" spans="1:8" s="324" customFormat="1" ht="210">
      <c r="A901" s="343"/>
      <c r="B901" s="6" t="s">
        <v>2247</v>
      </c>
      <c r="C901" s="344"/>
      <c r="D901" s="345"/>
      <c r="E901" s="346"/>
      <c r="F901" s="347"/>
      <c r="G901" s="334"/>
      <c r="H901" s="334"/>
    </row>
    <row r="902" spans="1:8" s="324" customFormat="1" ht="30">
      <c r="A902" s="343" t="s">
        <v>658</v>
      </c>
      <c r="B902" s="6" t="s">
        <v>2248</v>
      </c>
      <c r="C902" s="344"/>
      <c r="D902" s="345"/>
      <c r="E902" s="346"/>
      <c r="F902" s="347"/>
      <c r="G902" s="334"/>
      <c r="H902" s="334"/>
    </row>
    <row r="903" spans="1:8" s="324" customFormat="1">
      <c r="A903" s="343"/>
      <c r="B903" s="6" t="s">
        <v>2227</v>
      </c>
      <c r="C903" s="344" t="s">
        <v>76</v>
      </c>
      <c r="D903" s="345">
        <v>1</v>
      </c>
      <c r="E903" s="346"/>
      <c r="F903" s="347"/>
      <c r="G903" s="334"/>
      <c r="H903" s="334"/>
    </row>
    <row r="904" spans="1:8" s="324" customFormat="1" ht="120">
      <c r="A904" s="343"/>
      <c r="B904" s="6" t="s">
        <v>2249</v>
      </c>
      <c r="C904" s="344"/>
      <c r="D904" s="345"/>
      <c r="E904" s="346"/>
      <c r="F904" s="347"/>
      <c r="G904" s="334"/>
      <c r="H904" s="334"/>
    </row>
    <row r="905" spans="1:8" s="324" customFormat="1">
      <c r="A905" s="343" t="s">
        <v>2250</v>
      </c>
      <c r="B905" s="6" t="s">
        <v>2251</v>
      </c>
      <c r="C905" s="344"/>
      <c r="D905" s="345"/>
      <c r="E905" s="346"/>
      <c r="F905" s="347"/>
      <c r="G905" s="334"/>
      <c r="H905" s="334"/>
    </row>
    <row r="906" spans="1:8" s="324" customFormat="1" ht="30">
      <c r="A906" s="343"/>
      <c r="B906" s="6" t="s">
        <v>2183</v>
      </c>
      <c r="C906" s="344" t="s">
        <v>18</v>
      </c>
      <c r="D906" s="345">
        <v>1</v>
      </c>
      <c r="E906" s="346"/>
      <c r="F906" s="347"/>
      <c r="G906" s="334"/>
      <c r="H906" s="334"/>
    </row>
    <row r="907" spans="1:8" s="324" customFormat="1" ht="210">
      <c r="A907" s="343"/>
      <c r="B907" s="6" t="s">
        <v>2252</v>
      </c>
      <c r="C907" s="344"/>
      <c r="D907" s="345"/>
      <c r="E907" s="346"/>
      <c r="F907" s="347"/>
      <c r="G907" s="334"/>
      <c r="H907" s="334"/>
    </row>
    <row r="908" spans="1:8" s="324" customFormat="1" ht="30">
      <c r="A908" s="343" t="s">
        <v>2253</v>
      </c>
      <c r="B908" s="6" t="s">
        <v>2194</v>
      </c>
      <c r="C908" s="344"/>
      <c r="D908" s="345"/>
      <c r="E908" s="346"/>
      <c r="F908" s="347"/>
      <c r="G908" s="334"/>
      <c r="H908" s="334"/>
    </row>
    <row r="909" spans="1:8" s="324" customFormat="1" ht="30">
      <c r="A909" s="343"/>
      <c r="B909" s="6" t="s">
        <v>2195</v>
      </c>
      <c r="C909" s="344"/>
      <c r="D909" s="345"/>
      <c r="E909" s="346"/>
      <c r="F909" s="347"/>
      <c r="G909" s="334"/>
      <c r="H909" s="334"/>
    </row>
    <row r="910" spans="1:8" s="324" customFormat="1">
      <c r="A910" s="343"/>
      <c r="B910" s="6" t="s">
        <v>2191</v>
      </c>
      <c r="C910" s="344" t="s">
        <v>18</v>
      </c>
      <c r="D910" s="345">
        <v>1</v>
      </c>
      <c r="E910" s="346"/>
      <c r="F910" s="347"/>
      <c r="G910" s="334"/>
      <c r="H910" s="334"/>
    </row>
    <row r="911" spans="1:8" s="324" customFormat="1" ht="150">
      <c r="A911" s="343"/>
      <c r="B911" s="6" t="s">
        <v>2254</v>
      </c>
      <c r="C911" s="344"/>
      <c r="D911" s="345"/>
      <c r="E911" s="346"/>
      <c r="F911" s="347"/>
      <c r="G911" s="334"/>
      <c r="H911" s="334"/>
    </row>
    <row r="912" spans="1:8" s="324" customFormat="1" ht="30">
      <c r="A912" s="343" t="s">
        <v>659</v>
      </c>
      <c r="B912" s="6" t="s">
        <v>2189</v>
      </c>
      <c r="C912" s="344"/>
      <c r="D912" s="345"/>
      <c r="E912" s="346"/>
      <c r="F912" s="347"/>
      <c r="G912" s="334"/>
      <c r="H912" s="334"/>
    </row>
    <row r="913" spans="1:8" s="324" customFormat="1" ht="30">
      <c r="A913" s="343"/>
      <c r="B913" s="6" t="s">
        <v>2190</v>
      </c>
      <c r="C913" s="344"/>
      <c r="D913" s="345"/>
      <c r="E913" s="346"/>
      <c r="F913" s="347"/>
      <c r="G913" s="334"/>
      <c r="H913" s="334"/>
    </row>
    <row r="914" spans="1:8" s="324" customFormat="1">
      <c r="A914" s="343"/>
      <c r="B914" s="6" t="s">
        <v>2191</v>
      </c>
      <c r="C914" s="344" t="s">
        <v>18</v>
      </c>
      <c r="D914" s="345">
        <v>1</v>
      </c>
      <c r="E914" s="346"/>
      <c r="F914" s="347"/>
      <c r="G914" s="334"/>
      <c r="H914" s="334"/>
    </row>
    <row r="915" spans="1:8" s="324" customFormat="1" ht="180">
      <c r="A915" s="343"/>
      <c r="B915" s="6" t="s">
        <v>2255</v>
      </c>
      <c r="C915" s="344"/>
      <c r="D915" s="345"/>
      <c r="E915" s="346"/>
      <c r="F915" s="347"/>
      <c r="G915" s="334"/>
      <c r="H915" s="334"/>
    </row>
    <row r="916" spans="1:8" s="324" customFormat="1" ht="30">
      <c r="A916" s="343" t="s">
        <v>2256</v>
      </c>
      <c r="B916" s="6" t="s">
        <v>2257</v>
      </c>
      <c r="C916" s="344"/>
      <c r="D916" s="345"/>
      <c r="E916" s="346"/>
      <c r="F916" s="347"/>
      <c r="G916" s="334"/>
      <c r="H916" s="334"/>
    </row>
    <row r="917" spans="1:8" s="324" customFormat="1">
      <c r="A917" s="343"/>
      <c r="B917" s="6" t="s">
        <v>2205</v>
      </c>
      <c r="C917" s="344"/>
      <c r="D917" s="345"/>
      <c r="E917" s="346"/>
      <c r="F917" s="347"/>
      <c r="G917" s="334"/>
      <c r="H917" s="334"/>
    </row>
    <row r="918" spans="1:8" s="324" customFormat="1">
      <c r="A918" s="343"/>
      <c r="B918" s="6" t="s">
        <v>2206</v>
      </c>
      <c r="C918" s="344" t="s">
        <v>18</v>
      </c>
      <c r="D918" s="345">
        <v>1</v>
      </c>
      <c r="E918" s="346"/>
      <c r="F918" s="347"/>
      <c r="G918" s="334"/>
      <c r="H918" s="334"/>
    </row>
    <row r="919" spans="1:8" s="324" customFormat="1" ht="60">
      <c r="A919" s="343"/>
      <c r="B919" s="6" t="s">
        <v>2258</v>
      </c>
      <c r="C919" s="344"/>
      <c r="D919" s="345"/>
      <c r="E919" s="346"/>
      <c r="F919" s="347"/>
      <c r="G919" s="334"/>
      <c r="H919" s="334"/>
    </row>
    <row r="920" spans="1:8" s="324" customFormat="1" ht="30">
      <c r="A920" s="343" t="s">
        <v>2259</v>
      </c>
      <c r="B920" s="6" t="s">
        <v>2260</v>
      </c>
      <c r="C920" s="344"/>
      <c r="D920" s="345"/>
      <c r="E920" s="346"/>
      <c r="F920" s="347"/>
      <c r="G920" s="334"/>
      <c r="H920" s="334"/>
    </row>
    <row r="921" spans="1:8" s="324" customFormat="1">
      <c r="A921" s="343"/>
      <c r="B921" s="6" t="s">
        <v>2261</v>
      </c>
      <c r="C921" s="344"/>
      <c r="D921" s="345"/>
      <c r="E921" s="346"/>
      <c r="F921" s="347"/>
      <c r="G921" s="334"/>
      <c r="H921" s="334"/>
    </row>
    <row r="922" spans="1:8" s="324" customFormat="1">
      <c r="A922" s="343"/>
      <c r="B922" s="6" t="s">
        <v>2191</v>
      </c>
      <c r="C922" s="344" t="s">
        <v>18</v>
      </c>
      <c r="D922" s="345">
        <v>1</v>
      </c>
      <c r="E922" s="346"/>
      <c r="F922" s="347"/>
      <c r="G922" s="334"/>
      <c r="H922" s="334"/>
    </row>
    <row r="923" spans="1:8" s="324" customFormat="1" ht="360">
      <c r="A923" s="343"/>
      <c r="B923" s="6" t="s">
        <v>2262</v>
      </c>
      <c r="C923" s="344"/>
      <c r="D923" s="345"/>
      <c r="E923" s="346"/>
      <c r="F923" s="347"/>
      <c r="G923" s="334"/>
      <c r="H923" s="334"/>
    </row>
    <row r="924" spans="1:8" s="324" customFormat="1" ht="30">
      <c r="A924" s="343" t="s">
        <v>2263</v>
      </c>
      <c r="B924" s="6" t="s">
        <v>2264</v>
      </c>
      <c r="C924" s="344"/>
      <c r="D924" s="345"/>
      <c r="E924" s="346"/>
      <c r="F924" s="347"/>
      <c r="G924" s="334"/>
      <c r="H924" s="334"/>
    </row>
    <row r="925" spans="1:8" s="324" customFormat="1" ht="30">
      <c r="A925" s="343"/>
      <c r="B925" s="6" t="s">
        <v>2183</v>
      </c>
      <c r="C925" s="344" t="s">
        <v>18</v>
      </c>
      <c r="D925" s="345">
        <v>1</v>
      </c>
      <c r="E925" s="346"/>
      <c r="F925" s="347"/>
      <c r="G925" s="334"/>
      <c r="H925" s="334"/>
    </row>
    <row r="926" spans="1:8" s="324" customFormat="1" ht="135">
      <c r="A926" s="343"/>
      <c r="B926" s="6" t="s">
        <v>2265</v>
      </c>
      <c r="C926" s="344"/>
      <c r="D926" s="345"/>
      <c r="E926" s="346"/>
      <c r="F926" s="347"/>
      <c r="G926" s="334"/>
      <c r="H926" s="334"/>
    </row>
    <row r="927" spans="1:8" s="324" customFormat="1" ht="30">
      <c r="A927" s="343" t="s">
        <v>2266</v>
      </c>
      <c r="B927" s="6" t="s">
        <v>2267</v>
      </c>
      <c r="C927" s="344"/>
      <c r="D927" s="345"/>
      <c r="E927" s="346"/>
      <c r="F927" s="347"/>
      <c r="G927" s="334"/>
      <c r="H927" s="334"/>
    </row>
    <row r="928" spans="1:8" s="324" customFormat="1">
      <c r="A928" s="343"/>
      <c r="B928" s="6" t="s">
        <v>2268</v>
      </c>
      <c r="C928" s="344"/>
      <c r="D928" s="345"/>
      <c r="E928" s="346"/>
      <c r="F928" s="347"/>
      <c r="G928" s="334"/>
      <c r="H928" s="334"/>
    </row>
    <row r="929" spans="1:8" s="324" customFormat="1">
      <c r="A929" s="343"/>
      <c r="B929" s="6" t="s">
        <v>2206</v>
      </c>
      <c r="C929" s="344" t="s">
        <v>18</v>
      </c>
      <c r="D929" s="345">
        <v>1</v>
      </c>
      <c r="E929" s="346"/>
      <c r="F929" s="347"/>
      <c r="G929" s="334"/>
      <c r="H929" s="334"/>
    </row>
    <row r="930" spans="1:8" s="324" customFormat="1" ht="105">
      <c r="A930" s="343"/>
      <c r="B930" s="6" t="s">
        <v>2269</v>
      </c>
      <c r="C930" s="344"/>
      <c r="D930" s="345"/>
      <c r="E930" s="346"/>
      <c r="F930" s="347"/>
      <c r="G930" s="334"/>
      <c r="H930" s="334"/>
    </row>
    <row r="931" spans="1:8" s="324" customFormat="1" ht="30">
      <c r="A931" s="343" t="s">
        <v>2270</v>
      </c>
      <c r="B931" s="6" t="s">
        <v>2271</v>
      </c>
      <c r="C931" s="344"/>
      <c r="D931" s="345"/>
      <c r="E931" s="346"/>
      <c r="F931" s="347"/>
      <c r="G931" s="334"/>
      <c r="H931" s="334"/>
    </row>
    <row r="932" spans="1:8" s="324" customFormat="1" ht="30">
      <c r="A932" s="343"/>
      <c r="B932" s="6" t="s">
        <v>2183</v>
      </c>
      <c r="C932" s="344" t="s">
        <v>18</v>
      </c>
      <c r="D932" s="345">
        <v>8</v>
      </c>
      <c r="E932" s="346"/>
      <c r="F932" s="347"/>
      <c r="G932" s="334"/>
      <c r="H932" s="334"/>
    </row>
    <row r="933" spans="1:8" s="324" customFormat="1" ht="180">
      <c r="A933" s="343"/>
      <c r="B933" s="6" t="s">
        <v>2272</v>
      </c>
      <c r="C933" s="344"/>
      <c r="D933" s="345"/>
      <c r="E933" s="346"/>
      <c r="F933" s="347"/>
      <c r="G933" s="334"/>
      <c r="H933" s="334"/>
    </row>
    <row r="934" spans="1:8" s="324" customFormat="1" ht="30">
      <c r="A934" s="343" t="s">
        <v>2273</v>
      </c>
      <c r="B934" s="6" t="s">
        <v>2274</v>
      </c>
      <c r="C934" s="344"/>
      <c r="D934" s="345"/>
      <c r="E934" s="346"/>
      <c r="F934" s="347"/>
      <c r="G934" s="334"/>
      <c r="H934" s="334"/>
    </row>
    <row r="935" spans="1:8" s="324" customFormat="1" ht="30">
      <c r="A935" s="343"/>
      <c r="B935" s="6" t="s">
        <v>2183</v>
      </c>
      <c r="C935" s="344" t="s">
        <v>18</v>
      </c>
      <c r="D935" s="345">
        <v>4</v>
      </c>
      <c r="E935" s="346"/>
      <c r="F935" s="347"/>
      <c r="G935" s="334"/>
      <c r="H935" s="334"/>
    </row>
    <row r="936" spans="1:8" s="324" customFormat="1" ht="135">
      <c r="A936" s="343"/>
      <c r="B936" s="6" t="s">
        <v>2275</v>
      </c>
      <c r="C936" s="344"/>
      <c r="D936" s="345"/>
      <c r="E936" s="346"/>
      <c r="F936" s="347"/>
      <c r="G936" s="334"/>
      <c r="H936" s="334"/>
    </row>
    <row r="937" spans="1:8" s="324" customFormat="1" ht="30">
      <c r="A937" s="343" t="s">
        <v>2276</v>
      </c>
      <c r="B937" s="6" t="s">
        <v>2277</v>
      </c>
      <c r="C937" s="344" t="s">
        <v>76</v>
      </c>
      <c r="D937" s="345">
        <v>1</v>
      </c>
      <c r="E937" s="346"/>
      <c r="F937" s="347"/>
      <c r="G937" s="334"/>
      <c r="H937" s="334"/>
    </row>
    <row r="938" spans="1:8" s="324" customFormat="1">
      <c r="A938" s="343"/>
      <c r="B938" s="6" t="s">
        <v>2129</v>
      </c>
      <c r="C938" s="344"/>
      <c r="D938" s="345"/>
      <c r="E938" s="346"/>
      <c r="F938" s="347"/>
      <c r="G938" s="334"/>
      <c r="H938" s="334"/>
    </row>
    <row r="939" spans="1:8" s="324" customFormat="1" ht="60">
      <c r="A939" s="343"/>
      <c r="B939" s="6" t="s">
        <v>2278</v>
      </c>
      <c r="C939" s="344"/>
      <c r="D939" s="345"/>
      <c r="E939" s="346"/>
      <c r="F939" s="347"/>
      <c r="G939" s="334"/>
      <c r="H939" s="334"/>
    </row>
    <row r="940" spans="1:8" s="324" customFormat="1" ht="30">
      <c r="A940" s="343" t="s">
        <v>2130</v>
      </c>
      <c r="B940" s="6" t="s">
        <v>2482</v>
      </c>
      <c r="C940" s="344"/>
      <c r="D940" s="345"/>
      <c r="E940" s="346"/>
      <c r="F940" s="347"/>
      <c r="G940" s="334"/>
      <c r="H940" s="334"/>
    </row>
    <row r="941" spans="1:8" s="324" customFormat="1" ht="105">
      <c r="A941" s="343"/>
      <c r="B941" s="6" t="s">
        <v>2279</v>
      </c>
      <c r="C941" s="344"/>
      <c r="D941" s="345"/>
      <c r="E941" s="346"/>
      <c r="F941" s="347"/>
      <c r="G941" s="334"/>
      <c r="H941" s="334"/>
    </row>
    <row r="942" spans="1:8" s="324" customFormat="1" ht="30">
      <c r="A942" s="343" t="s">
        <v>2130</v>
      </c>
      <c r="B942" s="6" t="s">
        <v>2280</v>
      </c>
      <c r="C942" s="344"/>
      <c r="D942" s="345"/>
      <c r="E942" s="346"/>
      <c r="F942" s="347"/>
      <c r="G942" s="334"/>
      <c r="H942" s="334"/>
    </row>
    <row r="943" spans="1:8" s="324" customFormat="1">
      <c r="A943" s="343"/>
      <c r="B943" s="6" t="s">
        <v>2483</v>
      </c>
      <c r="C943" s="344"/>
      <c r="D943" s="345"/>
      <c r="E943" s="346"/>
      <c r="F943" s="347"/>
      <c r="G943" s="334"/>
      <c r="H943" s="334"/>
    </row>
    <row r="944" spans="1:8" s="324" customFormat="1" ht="75">
      <c r="A944" s="343"/>
      <c r="B944" s="6" t="s">
        <v>2281</v>
      </c>
      <c r="C944" s="344"/>
      <c r="D944" s="345"/>
      <c r="E944" s="346"/>
      <c r="F944" s="347"/>
      <c r="G944" s="334"/>
      <c r="H944" s="334"/>
    </row>
    <row r="945" spans="1:8" s="324" customFormat="1" ht="30">
      <c r="A945" s="343" t="s">
        <v>2130</v>
      </c>
      <c r="B945" s="6" t="s">
        <v>2282</v>
      </c>
      <c r="C945" s="344"/>
      <c r="D945" s="345"/>
      <c r="E945" s="346"/>
      <c r="F945" s="347"/>
      <c r="G945" s="334"/>
      <c r="H945" s="334"/>
    </row>
    <row r="946" spans="1:8" s="324" customFormat="1">
      <c r="A946" s="343"/>
      <c r="B946" s="6" t="s">
        <v>2480</v>
      </c>
      <c r="C946" s="344"/>
      <c r="D946" s="345"/>
      <c r="E946" s="346"/>
      <c r="F946" s="347"/>
      <c r="G946" s="334"/>
      <c r="H946" s="334"/>
    </row>
    <row r="947" spans="1:8" s="324" customFormat="1" ht="105">
      <c r="A947" s="343"/>
      <c r="B947" s="6" t="s">
        <v>2283</v>
      </c>
      <c r="C947" s="344"/>
      <c r="D947" s="345"/>
      <c r="E947" s="346"/>
      <c r="F947" s="347"/>
      <c r="G947" s="334"/>
      <c r="H947" s="334"/>
    </row>
    <row r="948" spans="1:8" s="324" customFormat="1" ht="30">
      <c r="A948" s="343" t="s">
        <v>2130</v>
      </c>
      <c r="B948" s="6" t="s">
        <v>2484</v>
      </c>
      <c r="C948" s="344"/>
      <c r="D948" s="345"/>
      <c r="E948" s="346"/>
      <c r="F948" s="347"/>
      <c r="G948" s="334"/>
      <c r="H948" s="334"/>
    </row>
    <row r="949" spans="1:8" s="324" customFormat="1" ht="45">
      <c r="A949" s="343"/>
      <c r="B949" s="6" t="s">
        <v>2284</v>
      </c>
      <c r="C949" s="344"/>
      <c r="D949" s="345"/>
      <c r="E949" s="346"/>
      <c r="F949" s="347"/>
      <c r="G949" s="334"/>
      <c r="H949" s="334"/>
    </row>
    <row r="950" spans="1:8" s="324" customFormat="1" ht="30">
      <c r="A950" s="343" t="s">
        <v>2130</v>
      </c>
      <c r="B950" s="6" t="s">
        <v>2285</v>
      </c>
      <c r="C950" s="344"/>
      <c r="D950" s="345"/>
      <c r="E950" s="346"/>
      <c r="F950" s="347"/>
      <c r="G950" s="334"/>
      <c r="H950" s="334"/>
    </row>
    <row r="951" spans="1:8" s="324" customFormat="1" ht="30">
      <c r="A951" s="343"/>
      <c r="B951" s="6" t="s">
        <v>2485</v>
      </c>
      <c r="C951" s="344"/>
      <c r="D951" s="345"/>
      <c r="E951" s="346"/>
      <c r="F951" s="347"/>
      <c r="G951" s="334"/>
      <c r="H951" s="334"/>
    </row>
    <row r="952" spans="1:8" s="324" customFormat="1" ht="45">
      <c r="A952" s="343"/>
      <c r="B952" s="6" t="s">
        <v>2286</v>
      </c>
      <c r="C952" s="344"/>
      <c r="D952" s="345"/>
      <c r="E952" s="346"/>
      <c r="F952" s="347"/>
      <c r="G952" s="334"/>
      <c r="H952" s="334"/>
    </row>
    <row r="953" spans="1:8" s="324" customFormat="1" ht="30">
      <c r="A953" s="343" t="s">
        <v>2130</v>
      </c>
      <c r="B953" s="6" t="s">
        <v>2287</v>
      </c>
      <c r="C953" s="344"/>
      <c r="D953" s="345"/>
      <c r="E953" s="346"/>
      <c r="F953" s="347"/>
      <c r="G953" s="334"/>
      <c r="H953" s="334"/>
    </row>
    <row r="954" spans="1:8" s="324" customFormat="1">
      <c r="A954" s="343"/>
      <c r="B954" s="6" t="s">
        <v>2486</v>
      </c>
      <c r="C954" s="344"/>
      <c r="D954" s="345"/>
      <c r="E954" s="346"/>
      <c r="F954" s="347"/>
      <c r="G954" s="334"/>
      <c r="H954" s="334"/>
    </row>
    <row r="955" spans="1:8" s="324" customFormat="1" ht="30">
      <c r="A955" s="343"/>
      <c r="B955" s="6" t="s">
        <v>2288</v>
      </c>
      <c r="C955" s="344"/>
      <c r="D955" s="345"/>
      <c r="E955" s="346"/>
      <c r="F955" s="347"/>
      <c r="G955" s="334"/>
      <c r="H955" s="334"/>
    </row>
    <row r="956" spans="1:8" s="324" customFormat="1">
      <c r="A956" s="343" t="s">
        <v>2130</v>
      </c>
      <c r="B956" s="6" t="s">
        <v>2289</v>
      </c>
      <c r="C956" s="344"/>
      <c r="D956" s="345"/>
      <c r="E956" s="346"/>
      <c r="F956" s="347"/>
      <c r="G956" s="334"/>
      <c r="H956" s="334"/>
    </row>
    <row r="957" spans="1:8" s="324" customFormat="1" ht="30">
      <c r="A957" s="343"/>
      <c r="B957" s="6" t="s">
        <v>2474</v>
      </c>
      <c r="C957" s="344"/>
      <c r="D957" s="345"/>
      <c r="E957" s="346"/>
      <c r="F957" s="347"/>
      <c r="G957" s="334"/>
      <c r="H957" s="334"/>
    </row>
    <row r="958" spans="1:8" s="324" customFormat="1">
      <c r="A958" s="343"/>
      <c r="B958" s="6" t="s">
        <v>2290</v>
      </c>
      <c r="C958" s="344"/>
      <c r="D958" s="345"/>
      <c r="E958" s="346"/>
      <c r="F958" s="347"/>
      <c r="G958" s="334"/>
      <c r="H958" s="334"/>
    </row>
    <row r="959" spans="1:8" s="324" customFormat="1">
      <c r="A959" s="343" t="s">
        <v>2130</v>
      </c>
      <c r="B959" s="6" t="s">
        <v>2291</v>
      </c>
      <c r="C959" s="344"/>
      <c r="D959" s="345"/>
      <c r="E959" s="346"/>
      <c r="F959" s="347"/>
      <c r="G959" s="334"/>
      <c r="H959" s="334"/>
    </row>
    <row r="960" spans="1:8" s="324" customFormat="1" ht="30">
      <c r="A960" s="343"/>
      <c r="B960" s="6" t="s">
        <v>2487</v>
      </c>
      <c r="C960" s="344"/>
      <c r="D960" s="345"/>
      <c r="E960" s="346"/>
      <c r="F960" s="347"/>
      <c r="G960" s="334"/>
      <c r="H960" s="334"/>
    </row>
    <row r="961" spans="1:8" s="324" customFormat="1">
      <c r="A961" s="343"/>
      <c r="B961" s="6" t="s">
        <v>2292</v>
      </c>
      <c r="C961" s="344"/>
      <c r="D961" s="345"/>
      <c r="E961" s="346"/>
      <c r="F961" s="347"/>
      <c r="G961" s="334"/>
      <c r="H961" s="334"/>
    </row>
    <row r="962" spans="1:8" s="324" customFormat="1">
      <c r="A962" s="343" t="s">
        <v>2130</v>
      </c>
      <c r="B962" s="6" t="s">
        <v>2293</v>
      </c>
      <c r="C962" s="344"/>
      <c r="D962" s="345"/>
      <c r="E962" s="346"/>
      <c r="F962" s="347"/>
      <c r="G962" s="334"/>
      <c r="H962" s="334"/>
    </row>
    <row r="963" spans="1:8" s="324" customFormat="1" ht="30">
      <c r="A963" s="343"/>
      <c r="B963" s="6" t="s">
        <v>2487</v>
      </c>
      <c r="C963" s="344"/>
      <c r="D963" s="345"/>
      <c r="E963" s="346"/>
      <c r="F963" s="347"/>
      <c r="G963" s="334"/>
      <c r="H963" s="334"/>
    </row>
    <row r="964" spans="1:8" s="324" customFormat="1">
      <c r="A964" s="343"/>
      <c r="B964" s="6" t="s">
        <v>2294</v>
      </c>
      <c r="C964" s="344"/>
      <c r="D964" s="345"/>
      <c r="E964" s="346"/>
      <c r="F964" s="347"/>
      <c r="G964" s="334"/>
      <c r="H964" s="334"/>
    </row>
    <row r="965" spans="1:8" s="324" customFormat="1">
      <c r="A965" s="343" t="s">
        <v>2130</v>
      </c>
      <c r="B965" s="6" t="s">
        <v>2295</v>
      </c>
      <c r="C965" s="344"/>
      <c r="D965" s="345"/>
      <c r="E965" s="346"/>
      <c r="F965" s="347"/>
      <c r="G965" s="334"/>
      <c r="H965" s="334"/>
    </row>
    <row r="966" spans="1:8" s="324" customFormat="1" ht="30">
      <c r="A966" s="343"/>
      <c r="B966" s="6" t="s">
        <v>2474</v>
      </c>
      <c r="C966" s="344"/>
      <c r="D966" s="345"/>
      <c r="E966" s="346"/>
      <c r="F966" s="347"/>
      <c r="G966" s="334"/>
      <c r="H966" s="334"/>
    </row>
    <row r="967" spans="1:8" s="324" customFormat="1" ht="180">
      <c r="A967" s="343"/>
      <c r="B967" s="6" t="s">
        <v>2296</v>
      </c>
      <c r="C967" s="344"/>
      <c r="D967" s="345"/>
      <c r="E967" s="346"/>
      <c r="F967" s="347"/>
      <c r="G967" s="334"/>
      <c r="H967" s="334"/>
    </row>
    <row r="968" spans="1:8" s="324" customFormat="1">
      <c r="A968" s="343" t="s">
        <v>2130</v>
      </c>
      <c r="B968" s="6" t="s">
        <v>2297</v>
      </c>
      <c r="C968" s="344"/>
      <c r="D968" s="345"/>
      <c r="E968" s="346"/>
      <c r="F968" s="347"/>
      <c r="G968" s="334"/>
      <c r="H968" s="334"/>
    </row>
    <row r="969" spans="1:8" s="324" customFormat="1" ht="30">
      <c r="A969" s="343"/>
      <c r="B969" s="6" t="s">
        <v>2487</v>
      </c>
      <c r="C969" s="344"/>
      <c r="D969" s="345"/>
      <c r="E969" s="346"/>
      <c r="F969" s="347"/>
      <c r="G969" s="334"/>
      <c r="H969" s="334"/>
    </row>
    <row r="970" spans="1:8" s="324" customFormat="1">
      <c r="A970" s="343"/>
      <c r="B970" s="6" t="s">
        <v>2298</v>
      </c>
      <c r="C970" s="344"/>
      <c r="D970" s="345"/>
      <c r="E970" s="346"/>
      <c r="F970" s="347"/>
      <c r="G970" s="334"/>
      <c r="H970" s="334"/>
    </row>
    <row r="971" spans="1:8" s="324" customFormat="1">
      <c r="A971" s="343" t="s">
        <v>2130</v>
      </c>
      <c r="B971" s="6" t="s">
        <v>2299</v>
      </c>
      <c r="C971" s="344"/>
      <c r="D971" s="345"/>
      <c r="E971" s="346"/>
      <c r="F971" s="347"/>
      <c r="G971" s="334"/>
      <c r="H971" s="334"/>
    </row>
    <row r="972" spans="1:8" s="324" customFormat="1" ht="30">
      <c r="A972" s="343"/>
      <c r="B972" s="6" t="s">
        <v>2479</v>
      </c>
      <c r="C972" s="344"/>
      <c r="D972" s="345"/>
      <c r="E972" s="346"/>
      <c r="F972" s="347"/>
      <c r="G972" s="334"/>
      <c r="H972" s="334"/>
    </row>
    <row r="973" spans="1:8" s="324" customFormat="1">
      <c r="A973" s="343"/>
      <c r="B973" s="6" t="s">
        <v>2300</v>
      </c>
      <c r="C973" s="344"/>
      <c r="D973" s="345"/>
      <c r="E973" s="346"/>
      <c r="F973" s="347"/>
      <c r="G973" s="334"/>
      <c r="H973" s="334"/>
    </row>
    <row r="974" spans="1:8" s="324" customFormat="1">
      <c r="A974" s="343" t="s">
        <v>2301</v>
      </c>
      <c r="B974" s="6" t="s">
        <v>2204</v>
      </c>
      <c r="C974" s="344"/>
      <c r="D974" s="345"/>
      <c r="E974" s="346"/>
      <c r="F974" s="347"/>
      <c r="G974" s="334"/>
      <c r="H974" s="334"/>
    </row>
    <row r="975" spans="1:8" s="324" customFormat="1">
      <c r="A975" s="343"/>
      <c r="B975" s="6" t="s">
        <v>2205</v>
      </c>
      <c r="C975" s="344"/>
      <c r="D975" s="345"/>
      <c r="E975" s="346"/>
      <c r="F975" s="347"/>
      <c r="G975" s="334"/>
      <c r="H975" s="334"/>
    </row>
    <row r="976" spans="1:8" s="324" customFormat="1">
      <c r="A976" s="343"/>
      <c r="B976" s="6" t="s">
        <v>2206</v>
      </c>
      <c r="C976" s="344" t="s">
        <v>18</v>
      </c>
      <c r="D976" s="345">
        <v>2</v>
      </c>
      <c r="E976" s="346"/>
      <c r="F976" s="347"/>
      <c r="G976" s="334"/>
      <c r="H976" s="334"/>
    </row>
    <row r="977" spans="1:8" s="324" customFormat="1" ht="45">
      <c r="A977" s="343"/>
      <c r="B977" s="6" t="s">
        <v>2302</v>
      </c>
      <c r="C977" s="344"/>
      <c r="D977" s="345"/>
      <c r="E977" s="346"/>
      <c r="F977" s="347"/>
      <c r="G977" s="334"/>
      <c r="H977" s="334"/>
    </row>
    <row r="978" spans="1:8" s="324" customFormat="1">
      <c r="A978" s="343" t="s">
        <v>2303</v>
      </c>
      <c r="B978" s="6" t="s">
        <v>2204</v>
      </c>
      <c r="C978" s="344"/>
      <c r="D978" s="345"/>
      <c r="E978" s="346"/>
      <c r="F978" s="347"/>
      <c r="G978" s="334"/>
      <c r="H978" s="334"/>
    </row>
    <row r="979" spans="1:8" s="324" customFormat="1">
      <c r="A979" s="343"/>
      <c r="B979" s="6" t="s">
        <v>2205</v>
      </c>
      <c r="C979" s="344"/>
      <c r="D979" s="345"/>
      <c r="E979" s="346"/>
      <c r="F979" s="347"/>
      <c r="G979" s="334"/>
      <c r="H979" s="334"/>
    </row>
    <row r="980" spans="1:8" s="324" customFormat="1">
      <c r="A980" s="343"/>
      <c r="B980" s="6" t="s">
        <v>2206</v>
      </c>
      <c r="C980" s="344" t="s">
        <v>18</v>
      </c>
      <c r="D980" s="345">
        <v>2</v>
      </c>
      <c r="E980" s="346"/>
      <c r="F980" s="347"/>
      <c r="G980" s="334"/>
      <c r="H980" s="334"/>
    </row>
    <row r="981" spans="1:8" s="324" customFormat="1" ht="45">
      <c r="A981" s="343"/>
      <c r="B981" s="6" t="s">
        <v>2304</v>
      </c>
      <c r="C981" s="344"/>
      <c r="D981" s="345"/>
      <c r="E981" s="346"/>
      <c r="F981" s="347"/>
      <c r="G981" s="334"/>
      <c r="H981" s="334"/>
    </row>
    <row r="982" spans="1:8" s="324" customFormat="1">
      <c r="A982" s="343" t="s">
        <v>2305</v>
      </c>
      <c r="B982" s="6" t="s">
        <v>2238</v>
      </c>
      <c r="C982" s="344"/>
      <c r="D982" s="345"/>
      <c r="E982" s="346"/>
      <c r="F982" s="347"/>
      <c r="G982" s="334"/>
      <c r="H982" s="334"/>
    </row>
    <row r="983" spans="1:8" s="324" customFormat="1" ht="30">
      <c r="A983" s="343"/>
      <c r="B983" s="6" t="s">
        <v>2306</v>
      </c>
      <c r="C983" s="344" t="s">
        <v>18</v>
      </c>
      <c r="D983" s="345">
        <v>2</v>
      </c>
      <c r="E983" s="346"/>
      <c r="F983" s="347"/>
      <c r="G983" s="334"/>
      <c r="H983" s="334"/>
    </row>
    <row r="984" spans="1:8" s="324" customFormat="1" ht="90">
      <c r="A984" s="343"/>
      <c r="B984" s="6" t="s">
        <v>2307</v>
      </c>
      <c r="C984" s="344"/>
      <c r="D984" s="345"/>
      <c r="E984" s="346"/>
      <c r="F984" s="347"/>
      <c r="G984" s="334"/>
      <c r="H984" s="334"/>
    </row>
    <row r="985" spans="1:8" s="324" customFormat="1">
      <c r="A985" s="343" t="s">
        <v>2308</v>
      </c>
      <c r="B985" s="6" t="s">
        <v>2238</v>
      </c>
      <c r="C985" s="344"/>
      <c r="D985" s="345"/>
      <c r="E985" s="346"/>
      <c r="F985" s="347"/>
      <c r="G985" s="334"/>
      <c r="H985" s="334"/>
    </row>
    <row r="986" spans="1:8" s="324" customFormat="1" ht="30">
      <c r="A986" s="343"/>
      <c r="B986" s="6" t="s">
        <v>2309</v>
      </c>
      <c r="C986" s="344" t="s">
        <v>18</v>
      </c>
      <c r="D986" s="345">
        <v>1</v>
      </c>
      <c r="E986" s="346"/>
      <c r="F986" s="347"/>
      <c r="G986" s="334"/>
      <c r="H986" s="334"/>
    </row>
    <row r="987" spans="1:8" s="324" customFormat="1" ht="90">
      <c r="A987" s="343"/>
      <c r="B987" s="6" t="s">
        <v>2310</v>
      </c>
      <c r="C987" s="344"/>
      <c r="D987" s="345"/>
      <c r="E987" s="346"/>
      <c r="F987" s="347"/>
      <c r="G987" s="334"/>
      <c r="H987" s="334"/>
    </row>
    <row r="988" spans="1:8" s="324" customFormat="1" ht="30">
      <c r="A988" s="343" t="s">
        <v>2311</v>
      </c>
      <c r="B988" s="6" t="s">
        <v>2312</v>
      </c>
      <c r="C988" s="344"/>
      <c r="D988" s="345"/>
      <c r="E988" s="346"/>
      <c r="F988" s="347"/>
      <c r="G988" s="334"/>
      <c r="H988" s="334"/>
    </row>
    <row r="989" spans="1:8" s="324" customFormat="1" ht="30">
      <c r="A989" s="343"/>
      <c r="B989" s="6" t="s">
        <v>2313</v>
      </c>
      <c r="C989" s="344" t="s">
        <v>76</v>
      </c>
      <c r="D989" s="345">
        <v>4</v>
      </c>
      <c r="E989" s="346"/>
      <c r="F989" s="347"/>
      <c r="G989" s="334"/>
      <c r="H989" s="334"/>
    </row>
    <row r="990" spans="1:8" s="324" customFormat="1" ht="120">
      <c r="A990" s="343"/>
      <c r="B990" s="6" t="s">
        <v>2314</v>
      </c>
      <c r="C990" s="344"/>
      <c r="D990" s="345"/>
      <c r="E990" s="346"/>
      <c r="F990" s="347"/>
      <c r="G990" s="334"/>
      <c r="H990" s="334"/>
    </row>
    <row r="991" spans="1:8" s="324" customFormat="1" ht="30">
      <c r="A991" s="343" t="s">
        <v>2315</v>
      </c>
      <c r="B991" s="6" t="s">
        <v>2316</v>
      </c>
      <c r="C991" s="344"/>
      <c r="D991" s="345"/>
      <c r="E991" s="346"/>
      <c r="F991" s="347"/>
      <c r="G991" s="334"/>
      <c r="H991" s="334"/>
    </row>
    <row r="992" spans="1:8" s="324" customFormat="1" ht="30">
      <c r="A992" s="343"/>
      <c r="B992" s="6" t="s">
        <v>2183</v>
      </c>
      <c r="C992" s="344" t="s">
        <v>18</v>
      </c>
      <c r="D992" s="345">
        <v>26</v>
      </c>
      <c r="E992" s="346"/>
      <c r="F992" s="347"/>
      <c r="G992" s="334"/>
      <c r="H992" s="334"/>
    </row>
    <row r="993" spans="1:8" s="324" customFormat="1" ht="120">
      <c r="A993" s="343"/>
      <c r="B993" s="6" t="s">
        <v>2317</v>
      </c>
      <c r="C993" s="344"/>
      <c r="D993" s="345"/>
      <c r="E993" s="346"/>
      <c r="F993" s="347"/>
      <c r="G993" s="334"/>
      <c r="H993" s="334"/>
    </row>
    <row r="994" spans="1:8" s="324" customFormat="1" ht="30">
      <c r="A994" s="343" t="s">
        <v>2318</v>
      </c>
      <c r="B994" s="6" t="s">
        <v>2319</v>
      </c>
      <c r="C994" s="344"/>
      <c r="D994" s="345"/>
      <c r="E994" s="346"/>
      <c r="F994" s="347"/>
      <c r="G994" s="334"/>
      <c r="H994" s="334"/>
    </row>
    <row r="995" spans="1:8" s="324" customFormat="1" ht="30">
      <c r="A995" s="343"/>
      <c r="B995" s="6" t="s">
        <v>2320</v>
      </c>
      <c r="C995" s="344" t="s">
        <v>18</v>
      </c>
      <c r="D995" s="345">
        <v>12</v>
      </c>
      <c r="E995" s="346"/>
      <c r="F995" s="347"/>
      <c r="G995" s="334"/>
      <c r="H995" s="334"/>
    </row>
    <row r="996" spans="1:8" s="324" customFormat="1" ht="135">
      <c r="A996" s="343"/>
      <c r="B996" s="6" t="s">
        <v>2321</v>
      </c>
      <c r="C996" s="344"/>
      <c r="D996" s="345"/>
      <c r="E996" s="346"/>
      <c r="F996" s="347"/>
      <c r="G996" s="334"/>
      <c r="H996" s="334"/>
    </row>
    <row r="997" spans="1:8" s="324" customFormat="1">
      <c r="A997" s="343"/>
      <c r="B997" s="6"/>
      <c r="C997" s="344"/>
      <c r="D997" s="345"/>
      <c r="E997" s="346"/>
      <c r="F997" s="347"/>
      <c r="G997" s="334"/>
      <c r="H997" s="334"/>
    </row>
    <row r="998" spans="1:8" s="324" customFormat="1">
      <c r="A998" s="343"/>
      <c r="B998" s="6"/>
      <c r="C998" s="344"/>
      <c r="D998" s="345"/>
      <c r="E998" s="346"/>
      <c r="F998" s="347"/>
      <c r="G998" s="334"/>
      <c r="H998" s="334"/>
    </row>
    <row r="999" spans="1:8" s="324" customFormat="1">
      <c r="A999" s="343" t="s">
        <v>293</v>
      </c>
      <c r="B999" s="6" t="s">
        <v>2322</v>
      </c>
      <c r="C999" s="344"/>
      <c r="D999" s="345"/>
      <c r="E999" s="346"/>
      <c r="F999" s="347"/>
      <c r="G999" s="334"/>
      <c r="H999" s="334"/>
    </row>
    <row r="1000" spans="1:8" s="324" customFormat="1">
      <c r="A1000" s="343"/>
      <c r="B1000" s="6"/>
      <c r="C1000" s="344"/>
      <c r="D1000" s="345"/>
      <c r="E1000" s="346"/>
      <c r="F1000" s="347"/>
      <c r="G1000" s="334"/>
      <c r="H1000" s="334"/>
    </row>
    <row r="1001" spans="1:8" s="324" customFormat="1">
      <c r="A1001" s="343" t="s">
        <v>2323</v>
      </c>
      <c r="B1001" s="6" t="s">
        <v>2324</v>
      </c>
      <c r="C1001" s="344"/>
      <c r="D1001" s="345"/>
      <c r="E1001" s="346"/>
      <c r="F1001" s="347"/>
      <c r="G1001" s="334"/>
      <c r="H1001" s="334"/>
    </row>
    <row r="1002" spans="1:8" s="324" customFormat="1" ht="30">
      <c r="A1002" s="343"/>
      <c r="B1002" s="6" t="s">
        <v>2183</v>
      </c>
      <c r="C1002" s="344" t="s">
        <v>18</v>
      </c>
      <c r="D1002" s="345">
        <v>2</v>
      </c>
      <c r="E1002" s="346"/>
      <c r="F1002" s="347"/>
      <c r="G1002" s="334"/>
      <c r="H1002" s="334"/>
    </row>
    <row r="1003" spans="1:8" s="324" customFormat="1" ht="165">
      <c r="A1003" s="343"/>
      <c r="B1003" s="6" t="s">
        <v>2325</v>
      </c>
      <c r="C1003" s="344"/>
      <c r="D1003" s="345"/>
      <c r="E1003" s="346"/>
      <c r="F1003" s="347"/>
      <c r="G1003" s="334"/>
      <c r="H1003" s="334"/>
    </row>
    <row r="1004" spans="1:8" s="324" customFormat="1" ht="30">
      <c r="A1004" s="343" t="s">
        <v>2326</v>
      </c>
      <c r="B1004" s="6" t="s">
        <v>2327</v>
      </c>
      <c r="C1004" s="344"/>
      <c r="D1004" s="345"/>
      <c r="E1004" s="346"/>
      <c r="F1004" s="347"/>
      <c r="G1004" s="334"/>
      <c r="H1004" s="334"/>
    </row>
    <row r="1005" spans="1:8" s="324" customFormat="1" ht="30">
      <c r="A1005" s="343"/>
      <c r="B1005" s="6" t="s">
        <v>2183</v>
      </c>
      <c r="C1005" s="344" t="s">
        <v>18</v>
      </c>
      <c r="D1005" s="345">
        <v>1</v>
      </c>
      <c r="E1005" s="346"/>
      <c r="F1005" s="347"/>
      <c r="G1005" s="334"/>
      <c r="H1005" s="334"/>
    </row>
    <row r="1006" spans="1:8" s="324" customFormat="1" ht="360">
      <c r="A1006" s="343"/>
      <c r="B1006" s="6" t="s">
        <v>2328</v>
      </c>
      <c r="C1006" s="344"/>
      <c r="D1006" s="345"/>
      <c r="E1006" s="346"/>
      <c r="F1006" s="347"/>
      <c r="G1006" s="334"/>
      <c r="H1006" s="334"/>
    </row>
    <row r="1007" spans="1:8" s="324" customFormat="1" ht="30">
      <c r="A1007" s="343" t="s">
        <v>2329</v>
      </c>
      <c r="B1007" s="6" t="s">
        <v>2330</v>
      </c>
      <c r="C1007" s="344"/>
      <c r="D1007" s="345"/>
      <c r="E1007" s="346"/>
      <c r="F1007" s="347"/>
      <c r="G1007" s="334"/>
      <c r="H1007" s="334"/>
    </row>
    <row r="1008" spans="1:8" s="324" customFormat="1">
      <c r="A1008" s="343"/>
      <c r="B1008" s="6" t="s">
        <v>2331</v>
      </c>
      <c r="C1008" s="344"/>
      <c r="D1008" s="345"/>
      <c r="E1008" s="346"/>
      <c r="F1008" s="347"/>
      <c r="G1008" s="334"/>
      <c r="H1008" s="334"/>
    </row>
    <row r="1009" spans="1:8" s="324" customFormat="1" ht="30">
      <c r="A1009" s="343"/>
      <c r="B1009" s="6" t="s">
        <v>2183</v>
      </c>
      <c r="C1009" s="344" t="s">
        <v>18</v>
      </c>
      <c r="D1009" s="345">
        <v>1</v>
      </c>
      <c r="E1009" s="346"/>
      <c r="F1009" s="347"/>
      <c r="G1009" s="334"/>
      <c r="H1009" s="334"/>
    </row>
    <row r="1010" spans="1:8" s="324" customFormat="1" ht="165">
      <c r="A1010" s="343"/>
      <c r="B1010" s="6" t="s">
        <v>2332</v>
      </c>
      <c r="C1010" s="344"/>
      <c r="D1010" s="345"/>
      <c r="E1010" s="346"/>
      <c r="F1010" s="347"/>
      <c r="G1010" s="334"/>
      <c r="H1010" s="334"/>
    </row>
    <row r="1011" spans="1:8" s="324" customFormat="1" ht="30">
      <c r="A1011" s="343" t="s">
        <v>2333</v>
      </c>
      <c r="B1011" s="6" t="s">
        <v>2319</v>
      </c>
      <c r="C1011" s="344"/>
      <c r="D1011" s="345"/>
      <c r="E1011" s="346"/>
      <c r="F1011" s="347"/>
      <c r="G1011" s="334"/>
      <c r="H1011" s="334"/>
    </row>
    <row r="1012" spans="1:8" s="324" customFormat="1" ht="30">
      <c r="A1012" s="343"/>
      <c r="B1012" s="6" t="s">
        <v>2334</v>
      </c>
      <c r="C1012" s="344" t="s">
        <v>18</v>
      </c>
      <c r="D1012" s="345">
        <v>2</v>
      </c>
      <c r="E1012" s="346"/>
      <c r="F1012" s="347"/>
      <c r="G1012" s="334"/>
      <c r="H1012" s="334"/>
    </row>
    <row r="1013" spans="1:8" s="324" customFormat="1" ht="135">
      <c r="A1013" s="343"/>
      <c r="B1013" s="6" t="s">
        <v>2335</v>
      </c>
      <c r="C1013" s="344"/>
      <c r="D1013" s="345"/>
      <c r="E1013" s="346"/>
      <c r="F1013" s="347"/>
      <c r="G1013" s="334"/>
      <c r="H1013" s="334"/>
    </row>
    <row r="1014" spans="1:8" s="324" customFormat="1">
      <c r="A1014" s="343" t="s">
        <v>2336</v>
      </c>
      <c r="B1014" s="6" t="s">
        <v>2337</v>
      </c>
      <c r="C1014" s="344" t="s">
        <v>18</v>
      </c>
      <c r="D1014" s="345">
        <v>1</v>
      </c>
      <c r="E1014" s="346"/>
      <c r="F1014" s="347"/>
      <c r="G1014" s="334"/>
      <c r="H1014" s="334"/>
    </row>
    <row r="1015" spans="1:8" s="324" customFormat="1" ht="30">
      <c r="A1015" s="343"/>
      <c r="B1015" s="6" t="s">
        <v>2338</v>
      </c>
      <c r="C1015" s="344"/>
      <c r="D1015" s="345"/>
      <c r="E1015" s="346"/>
      <c r="F1015" s="347"/>
      <c r="G1015" s="334"/>
      <c r="H1015" s="334"/>
    </row>
    <row r="1016" spans="1:8" s="324" customFormat="1" ht="225">
      <c r="A1016" s="343"/>
      <c r="B1016" s="6" t="s">
        <v>2339</v>
      </c>
      <c r="C1016" s="344"/>
      <c r="D1016" s="345"/>
      <c r="E1016" s="346"/>
      <c r="F1016" s="347"/>
      <c r="G1016" s="334"/>
      <c r="H1016" s="334"/>
    </row>
    <row r="1017" spans="1:8" s="324" customFormat="1">
      <c r="A1017" s="343"/>
      <c r="B1017" s="6"/>
      <c r="C1017" s="344"/>
      <c r="D1017" s="345"/>
      <c r="E1017" s="346"/>
      <c r="F1017" s="347"/>
      <c r="G1017" s="334"/>
      <c r="H1017" s="334"/>
    </row>
    <row r="1018" spans="1:8" s="324" customFormat="1">
      <c r="A1018" s="343"/>
      <c r="B1018" s="6"/>
      <c r="C1018" s="344"/>
      <c r="D1018" s="345"/>
      <c r="E1018" s="346"/>
      <c r="F1018" s="347"/>
      <c r="G1018" s="334"/>
      <c r="H1018" s="334"/>
    </row>
    <row r="1019" spans="1:8" s="324" customFormat="1">
      <c r="A1019" s="343" t="s">
        <v>300</v>
      </c>
      <c r="B1019" s="6" t="s">
        <v>2340</v>
      </c>
      <c r="C1019" s="344"/>
      <c r="D1019" s="345"/>
      <c r="E1019" s="346"/>
      <c r="F1019" s="347"/>
      <c r="G1019" s="334"/>
      <c r="H1019" s="334"/>
    </row>
    <row r="1020" spans="1:8" s="324" customFormat="1">
      <c r="A1020" s="343"/>
      <c r="B1020" s="6"/>
      <c r="C1020" s="344"/>
      <c r="D1020" s="345"/>
      <c r="E1020" s="346"/>
      <c r="F1020" s="347"/>
      <c r="G1020" s="334"/>
      <c r="H1020" s="334"/>
    </row>
    <row r="1021" spans="1:8" s="324" customFormat="1">
      <c r="A1021" s="343" t="s">
        <v>660</v>
      </c>
      <c r="B1021" s="6" t="s">
        <v>2341</v>
      </c>
      <c r="C1021" s="344"/>
      <c r="D1021" s="345"/>
      <c r="E1021" s="346"/>
      <c r="F1021" s="347"/>
      <c r="G1021" s="334"/>
      <c r="H1021" s="334"/>
    </row>
    <row r="1022" spans="1:8" s="324" customFormat="1">
      <c r="A1022" s="343"/>
      <c r="B1022" s="6" t="s">
        <v>2342</v>
      </c>
      <c r="C1022" s="344" t="s">
        <v>76</v>
      </c>
      <c r="D1022" s="345">
        <v>1</v>
      </c>
      <c r="E1022" s="346"/>
      <c r="F1022" s="347"/>
      <c r="G1022" s="334"/>
      <c r="H1022" s="334"/>
    </row>
    <row r="1023" spans="1:8" s="324" customFormat="1" ht="45">
      <c r="A1023" s="343"/>
      <c r="B1023" s="6" t="s">
        <v>2343</v>
      </c>
      <c r="C1023" s="344"/>
      <c r="D1023" s="345"/>
      <c r="E1023" s="346"/>
      <c r="F1023" s="347"/>
      <c r="G1023" s="334"/>
      <c r="H1023" s="334"/>
    </row>
    <row r="1024" spans="1:8" s="324" customFormat="1" ht="30">
      <c r="A1024" s="343" t="s">
        <v>661</v>
      </c>
      <c r="B1024" s="6" t="s">
        <v>2344</v>
      </c>
      <c r="C1024" s="344"/>
      <c r="D1024" s="345"/>
      <c r="E1024" s="346"/>
      <c r="F1024" s="347"/>
      <c r="G1024" s="334"/>
      <c r="H1024" s="334"/>
    </row>
    <row r="1025" spans="1:8" s="324" customFormat="1" ht="30">
      <c r="A1025" s="343"/>
      <c r="B1025" s="6" t="s">
        <v>2345</v>
      </c>
      <c r="C1025" s="344"/>
      <c r="D1025" s="345"/>
      <c r="E1025" s="346"/>
      <c r="F1025" s="347"/>
      <c r="G1025" s="334"/>
      <c r="H1025" s="334"/>
    </row>
    <row r="1026" spans="1:8" s="324" customFormat="1" ht="30">
      <c r="A1026" s="343"/>
      <c r="B1026" s="6" t="s">
        <v>2346</v>
      </c>
      <c r="C1026" s="344"/>
      <c r="D1026" s="345"/>
      <c r="E1026" s="346"/>
      <c r="F1026" s="347"/>
      <c r="G1026" s="334"/>
      <c r="H1026" s="334"/>
    </row>
    <row r="1027" spans="1:8" s="324" customFormat="1">
      <c r="A1027" s="343"/>
      <c r="B1027" s="6" t="s">
        <v>2347</v>
      </c>
      <c r="C1027" s="344" t="s">
        <v>76</v>
      </c>
      <c r="D1027" s="345">
        <v>1</v>
      </c>
      <c r="E1027" s="346"/>
      <c r="F1027" s="347"/>
      <c r="G1027" s="334"/>
      <c r="H1027" s="334"/>
    </row>
    <row r="1028" spans="1:8" s="324" customFormat="1" ht="165">
      <c r="A1028" s="343"/>
      <c r="B1028" s="6" t="s">
        <v>2348</v>
      </c>
      <c r="C1028" s="344"/>
      <c r="D1028" s="345"/>
      <c r="E1028" s="346"/>
      <c r="F1028" s="347"/>
      <c r="G1028" s="334"/>
      <c r="H1028" s="334"/>
    </row>
    <row r="1029" spans="1:8" s="324" customFormat="1">
      <c r="A1029" s="343" t="s">
        <v>2349</v>
      </c>
      <c r="B1029" s="6" t="s">
        <v>2350</v>
      </c>
      <c r="C1029" s="344"/>
      <c r="D1029" s="345"/>
      <c r="E1029" s="346"/>
      <c r="F1029" s="347"/>
      <c r="G1029" s="334"/>
      <c r="H1029" s="334"/>
    </row>
    <row r="1030" spans="1:8" s="324" customFormat="1">
      <c r="A1030" s="343"/>
      <c r="B1030" s="6" t="s">
        <v>2351</v>
      </c>
      <c r="C1030" s="344"/>
      <c r="D1030" s="345"/>
      <c r="E1030" s="346"/>
      <c r="F1030" s="347"/>
      <c r="G1030" s="334"/>
      <c r="H1030" s="334"/>
    </row>
    <row r="1031" spans="1:8" s="324" customFormat="1" ht="30">
      <c r="A1031" s="343"/>
      <c r="B1031" s="6" t="s">
        <v>2352</v>
      </c>
      <c r="C1031" s="344" t="s">
        <v>76</v>
      </c>
      <c r="D1031" s="345">
        <v>1</v>
      </c>
      <c r="E1031" s="346"/>
      <c r="F1031" s="347"/>
      <c r="G1031" s="334"/>
      <c r="H1031" s="334"/>
    </row>
    <row r="1032" spans="1:8" s="324" customFormat="1" ht="195">
      <c r="A1032" s="343"/>
      <c r="B1032" s="6" t="s">
        <v>2353</v>
      </c>
      <c r="C1032" s="344"/>
      <c r="D1032" s="345"/>
      <c r="E1032" s="346"/>
      <c r="F1032" s="347"/>
      <c r="G1032" s="334"/>
      <c r="H1032" s="334"/>
    </row>
    <row r="1033" spans="1:8" s="324" customFormat="1">
      <c r="A1033" s="343"/>
      <c r="B1033" s="6"/>
      <c r="C1033" s="344"/>
      <c r="D1033" s="345"/>
      <c r="E1033" s="346"/>
      <c r="F1033" s="347"/>
      <c r="G1033" s="334"/>
      <c r="H1033" s="334"/>
    </row>
    <row r="1034" spans="1:8" s="324" customFormat="1">
      <c r="A1034" s="343"/>
      <c r="B1034" s="6"/>
      <c r="C1034" s="344"/>
      <c r="D1034" s="345"/>
      <c r="E1034" s="346"/>
      <c r="F1034" s="347"/>
      <c r="G1034" s="334"/>
      <c r="H1034" s="334"/>
    </row>
    <row r="1035" spans="1:8" s="324" customFormat="1" ht="30">
      <c r="A1035" s="343" t="s">
        <v>2354</v>
      </c>
      <c r="B1035" s="6" t="s">
        <v>2355</v>
      </c>
      <c r="C1035" s="344"/>
      <c r="D1035" s="345"/>
      <c r="E1035" s="346"/>
      <c r="F1035" s="347"/>
      <c r="G1035" s="334"/>
      <c r="H1035" s="334"/>
    </row>
    <row r="1036" spans="1:8" s="324" customFormat="1">
      <c r="A1036" s="343"/>
      <c r="B1036" s="6" t="s">
        <v>2356</v>
      </c>
      <c r="C1036" s="344"/>
      <c r="D1036" s="345"/>
      <c r="E1036" s="346"/>
      <c r="F1036" s="347"/>
      <c r="G1036" s="334"/>
      <c r="H1036" s="334"/>
    </row>
    <row r="1037" spans="1:8" s="324" customFormat="1">
      <c r="A1037" s="343"/>
      <c r="B1037" s="6" t="s">
        <v>2357</v>
      </c>
      <c r="C1037" s="344" t="s">
        <v>280</v>
      </c>
      <c r="D1037" s="345">
        <v>380</v>
      </c>
      <c r="E1037" s="346"/>
      <c r="F1037" s="347"/>
      <c r="G1037" s="334"/>
      <c r="H1037" s="334"/>
    </row>
    <row r="1038" spans="1:8" s="324" customFormat="1" ht="165">
      <c r="A1038" s="343"/>
      <c r="B1038" s="6" t="s">
        <v>2358</v>
      </c>
      <c r="C1038" s="344"/>
      <c r="D1038" s="345"/>
      <c r="E1038" s="346"/>
      <c r="F1038" s="347"/>
      <c r="G1038" s="334"/>
      <c r="H1038" s="334"/>
    </row>
    <row r="1039" spans="1:8" s="324" customFormat="1">
      <c r="A1039" s="343" t="s">
        <v>2359</v>
      </c>
      <c r="B1039" s="6" t="s">
        <v>2360</v>
      </c>
      <c r="C1039" s="344"/>
      <c r="D1039" s="345"/>
      <c r="E1039" s="346"/>
      <c r="F1039" s="347"/>
      <c r="G1039" s="334"/>
      <c r="H1039" s="334"/>
    </row>
    <row r="1040" spans="1:8" s="324" customFormat="1">
      <c r="A1040" s="343"/>
      <c r="B1040" s="6" t="s">
        <v>2488</v>
      </c>
      <c r="C1040" s="344"/>
      <c r="D1040" s="345"/>
      <c r="E1040" s="346"/>
      <c r="F1040" s="347"/>
      <c r="G1040" s="334"/>
      <c r="H1040" s="334"/>
    </row>
    <row r="1041" spans="1:8" s="324" customFormat="1">
      <c r="A1041" s="343"/>
      <c r="B1041" s="6" t="s">
        <v>2361</v>
      </c>
      <c r="C1041" s="344" t="s">
        <v>280</v>
      </c>
      <c r="D1041" s="345">
        <v>150</v>
      </c>
      <c r="E1041" s="346"/>
      <c r="F1041" s="347"/>
      <c r="G1041" s="334"/>
      <c r="H1041" s="334"/>
    </row>
    <row r="1042" spans="1:8" s="324" customFormat="1" ht="165">
      <c r="A1042" s="343"/>
      <c r="B1042" s="6" t="s">
        <v>2362</v>
      </c>
      <c r="C1042" s="344"/>
      <c r="D1042" s="345"/>
      <c r="E1042" s="346"/>
      <c r="F1042" s="347"/>
      <c r="G1042" s="334"/>
      <c r="H1042" s="334"/>
    </row>
    <row r="1043" spans="1:8" s="324" customFormat="1" ht="30">
      <c r="A1043" s="343" t="s">
        <v>2363</v>
      </c>
      <c r="B1043" s="6" t="s">
        <v>2355</v>
      </c>
      <c r="C1043" s="344"/>
      <c r="D1043" s="345"/>
      <c r="E1043" s="346"/>
      <c r="F1043" s="347"/>
      <c r="G1043" s="334"/>
      <c r="H1043" s="334"/>
    </row>
    <row r="1044" spans="1:8" s="324" customFormat="1">
      <c r="A1044" s="343"/>
      <c r="B1044" s="6" t="s">
        <v>2364</v>
      </c>
      <c r="C1044" s="344"/>
      <c r="D1044" s="345"/>
      <c r="E1044" s="346"/>
      <c r="F1044" s="347"/>
      <c r="G1044" s="334"/>
      <c r="H1044" s="334"/>
    </row>
    <row r="1045" spans="1:8" s="324" customFormat="1">
      <c r="A1045" s="343"/>
      <c r="B1045" s="6" t="s">
        <v>2357</v>
      </c>
      <c r="C1045" s="344" t="s">
        <v>280</v>
      </c>
      <c r="D1045" s="345">
        <v>150</v>
      </c>
      <c r="E1045" s="346"/>
      <c r="F1045" s="347"/>
      <c r="G1045" s="334"/>
      <c r="H1045" s="334"/>
    </row>
    <row r="1046" spans="1:8" s="324" customFormat="1" ht="165">
      <c r="A1046" s="343"/>
      <c r="B1046" s="6" t="s">
        <v>2365</v>
      </c>
      <c r="C1046" s="344"/>
      <c r="D1046" s="345"/>
      <c r="E1046" s="346"/>
      <c r="F1046" s="347"/>
      <c r="G1046" s="334"/>
      <c r="H1046" s="334"/>
    </row>
    <row r="1047" spans="1:8" s="324" customFormat="1" ht="30">
      <c r="A1047" s="343" t="s">
        <v>2366</v>
      </c>
      <c r="B1047" s="6" t="s">
        <v>2367</v>
      </c>
      <c r="C1047" s="344"/>
      <c r="D1047" s="345"/>
      <c r="E1047" s="346"/>
      <c r="F1047" s="347"/>
      <c r="G1047" s="334"/>
      <c r="H1047" s="334"/>
    </row>
    <row r="1048" spans="1:8" s="324" customFormat="1">
      <c r="A1048" s="343"/>
      <c r="B1048" s="6" t="s">
        <v>2368</v>
      </c>
      <c r="C1048" s="344"/>
      <c r="D1048" s="345"/>
      <c r="E1048" s="346"/>
      <c r="F1048" s="347"/>
      <c r="G1048" s="334"/>
      <c r="H1048" s="334"/>
    </row>
    <row r="1049" spans="1:8" s="324" customFormat="1">
      <c r="A1049" s="343"/>
      <c r="B1049" s="6" t="s">
        <v>2369</v>
      </c>
      <c r="C1049" s="344" t="s">
        <v>280</v>
      </c>
      <c r="D1049" s="345">
        <v>250</v>
      </c>
      <c r="E1049" s="346"/>
      <c r="F1049" s="347"/>
      <c r="G1049" s="334"/>
      <c r="H1049" s="334"/>
    </row>
    <row r="1050" spans="1:8" s="324" customFormat="1" ht="165">
      <c r="A1050" s="343"/>
      <c r="B1050" s="6" t="s">
        <v>2370</v>
      </c>
      <c r="C1050" s="344"/>
      <c r="D1050" s="345"/>
      <c r="E1050" s="346"/>
      <c r="F1050" s="347"/>
      <c r="G1050" s="334"/>
      <c r="H1050" s="334"/>
    </row>
    <row r="1051" spans="1:8" s="324" customFormat="1" ht="30">
      <c r="A1051" s="343" t="s">
        <v>2371</v>
      </c>
      <c r="B1051" s="6" t="s">
        <v>2355</v>
      </c>
      <c r="C1051" s="344"/>
      <c r="D1051" s="345"/>
      <c r="E1051" s="346"/>
      <c r="F1051" s="347"/>
      <c r="G1051" s="334"/>
      <c r="H1051" s="334"/>
    </row>
    <row r="1052" spans="1:8" s="324" customFormat="1">
      <c r="A1052" s="343"/>
      <c r="B1052" s="6" t="s">
        <v>2372</v>
      </c>
      <c r="C1052" s="344"/>
      <c r="D1052" s="345"/>
      <c r="E1052" s="346"/>
      <c r="F1052" s="347"/>
      <c r="G1052" s="334"/>
      <c r="H1052" s="334"/>
    </row>
    <row r="1053" spans="1:8" s="324" customFormat="1">
      <c r="A1053" s="343"/>
      <c r="B1053" s="6" t="s">
        <v>2357</v>
      </c>
      <c r="C1053" s="344" t="s">
        <v>280</v>
      </c>
      <c r="D1053" s="345">
        <v>80</v>
      </c>
      <c r="E1053" s="346"/>
      <c r="F1053" s="347"/>
      <c r="G1053" s="334"/>
      <c r="H1053" s="334"/>
    </row>
    <row r="1054" spans="1:8" s="324" customFormat="1" ht="195">
      <c r="A1054" s="343"/>
      <c r="B1054" s="6" t="s">
        <v>2373</v>
      </c>
      <c r="C1054" s="344"/>
      <c r="D1054" s="345"/>
      <c r="E1054" s="346"/>
      <c r="F1054" s="347"/>
      <c r="G1054" s="334"/>
      <c r="H1054" s="334"/>
    </row>
    <row r="1055" spans="1:8" s="324" customFormat="1" ht="30">
      <c r="A1055" s="343" t="s">
        <v>2374</v>
      </c>
      <c r="B1055" s="6" t="s">
        <v>2375</v>
      </c>
      <c r="C1055" s="344"/>
      <c r="D1055" s="345"/>
      <c r="E1055" s="346"/>
      <c r="F1055" s="347"/>
      <c r="G1055" s="334"/>
      <c r="H1055" s="334"/>
    </row>
    <row r="1056" spans="1:8" s="324" customFormat="1" ht="30">
      <c r="A1056" s="343"/>
      <c r="B1056" s="6" t="s">
        <v>2376</v>
      </c>
      <c r="C1056" s="344"/>
      <c r="D1056" s="345"/>
      <c r="E1056" s="346"/>
      <c r="F1056" s="347"/>
      <c r="G1056" s="334"/>
      <c r="H1056" s="334"/>
    </row>
    <row r="1057" spans="1:8" s="324" customFormat="1">
      <c r="A1057" s="343"/>
      <c r="B1057" s="6" t="s">
        <v>2369</v>
      </c>
      <c r="C1057" s="344" t="s">
        <v>280</v>
      </c>
      <c r="D1057" s="345">
        <v>150</v>
      </c>
      <c r="E1057" s="346"/>
      <c r="F1057" s="347"/>
      <c r="G1057" s="334"/>
      <c r="H1057" s="334"/>
    </row>
    <row r="1058" spans="1:8" s="324" customFormat="1" ht="90">
      <c r="A1058" s="343"/>
      <c r="B1058" s="6" t="s">
        <v>2377</v>
      </c>
      <c r="C1058" s="344"/>
      <c r="D1058" s="345"/>
      <c r="E1058" s="346"/>
      <c r="F1058" s="347"/>
      <c r="G1058" s="334"/>
      <c r="H1058" s="334"/>
    </row>
    <row r="1059" spans="1:8" s="324" customFormat="1" ht="30">
      <c r="A1059" s="343" t="s">
        <v>2378</v>
      </c>
      <c r="B1059" s="6" t="s">
        <v>2379</v>
      </c>
      <c r="C1059" s="344"/>
      <c r="D1059" s="345"/>
      <c r="E1059" s="346"/>
      <c r="F1059" s="347"/>
      <c r="G1059" s="334"/>
      <c r="H1059" s="334"/>
    </row>
    <row r="1060" spans="1:8" s="324" customFormat="1" ht="30">
      <c r="A1060" s="343"/>
      <c r="B1060" s="6" t="s">
        <v>2380</v>
      </c>
      <c r="C1060" s="344" t="s">
        <v>280</v>
      </c>
      <c r="D1060" s="345">
        <v>20</v>
      </c>
      <c r="E1060" s="346"/>
      <c r="F1060" s="347"/>
      <c r="G1060" s="334"/>
      <c r="H1060" s="334"/>
    </row>
    <row r="1061" spans="1:8" s="324" customFormat="1" ht="255">
      <c r="A1061" s="343"/>
      <c r="B1061" s="6" t="s">
        <v>2381</v>
      </c>
      <c r="C1061" s="344"/>
      <c r="D1061" s="345"/>
      <c r="E1061" s="346"/>
      <c r="F1061" s="347"/>
      <c r="G1061" s="334"/>
      <c r="H1061" s="334"/>
    </row>
    <row r="1062" spans="1:8" s="324" customFormat="1">
      <c r="A1062" s="343"/>
      <c r="B1062" s="6"/>
      <c r="C1062" s="344"/>
      <c r="D1062" s="345"/>
      <c r="E1062" s="346"/>
      <c r="F1062" s="347"/>
      <c r="G1062" s="334"/>
      <c r="H1062" s="334"/>
    </row>
    <row r="1063" spans="1:8" s="324" customFormat="1">
      <c r="A1063" s="343"/>
      <c r="B1063" s="6"/>
      <c r="C1063" s="344"/>
      <c r="D1063" s="345"/>
      <c r="E1063" s="346"/>
      <c r="F1063" s="347"/>
      <c r="G1063" s="334"/>
      <c r="H1063" s="334"/>
    </row>
    <row r="1064" spans="1:8" s="324" customFormat="1" ht="90">
      <c r="A1064" s="343" t="s">
        <v>2382</v>
      </c>
      <c r="B1064" s="343" t="s">
        <v>2383</v>
      </c>
      <c r="C1064" s="344" t="s">
        <v>18</v>
      </c>
      <c r="D1064" s="297">
        <v>1</v>
      </c>
      <c r="E1064" s="345"/>
      <c r="F1064" s="347"/>
    </row>
    <row r="1065" spans="1:8" s="324" customFormat="1">
      <c r="A1065" s="343"/>
      <c r="B1065" s="343"/>
      <c r="C1065" s="344"/>
      <c r="D1065" s="297"/>
      <c r="E1065" s="345"/>
      <c r="F1065" s="347"/>
    </row>
    <row r="1066" spans="1:8" s="324" customFormat="1" ht="60">
      <c r="A1066" s="343" t="s">
        <v>2384</v>
      </c>
      <c r="B1066" s="343" t="s">
        <v>2385</v>
      </c>
      <c r="C1066" s="344" t="s">
        <v>18</v>
      </c>
      <c r="D1066" s="297">
        <v>3</v>
      </c>
      <c r="E1066" s="345"/>
      <c r="F1066" s="347"/>
    </row>
    <row r="1067" spans="1:8" s="324" customFormat="1">
      <c r="A1067" s="343"/>
      <c r="B1067" s="343"/>
      <c r="C1067" s="344"/>
      <c r="D1067" s="297"/>
      <c r="E1067" s="345"/>
      <c r="F1067" s="347"/>
    </row>
    <row r="1068" spans="1:8" s="324" customFormat="1" ht="75">
      <c r="A1068" s="343" t="s">
        <v>2386</v>
      </c>
      <c r="B1068" s="343" t="s">
        <v>2387</v>
      </c>
      <c r="C1068" s="344" t="s">
        <v>18</v>
      </c>
      <c r="D1068" s="297">
        <v>1</v>
      </c>
      <c r="E1068" s="345"/>
      <c r="F1068" s="347"/>
    </row>
    <row r="1069" spans="1:8" s="324" customFormat="1">
      <c r="A1069" s="343"/>
      <c r="B1069" s="343"/>
      <c r="C1069" s="344"/>
      <c r="D1069" s="297"/>
      <c r="E1069" s="345"/>
      <c r="F1069" s="347"/>
    </row>
    <row r="1070" spans="1:8" s="324" customFormat="1" ht="75">
      <c r="A1070" s="343" t="s">
        <v>2388</v>
      </c>
      <c r="B1070" s="343" t="s">
        <v>2389</v>
      </c>
      <c r="C1070" s="344" t="s">
        <v>280</v>
      </c>
      <c r="D1070" s="297">
        <v>120</v>
      </c>
      <c r="E1070" s="345"/>
      <c r="F1070" s="347"/>
    </row>
    <row r="1071" spans="1:8" s="324" customFormat="1">
      <c r="A1071" s="343"/>
      <c r="B1071" s="6"/>
      <c r="C1071" s="344"/>
      <c r="D1071" s="345"/>
      <c r="E1071" s="346"/>
      <c r="F1071" s="347"/>
      <c r="G1071" s="334"/>
      <c r="H1071" s="334"/>
    </row>
    <row r="1072" spans="1:8" s="6" customFormat="1">
      <c r="A1072" s="343" t="s">
        <v>2390</v>
      </c>
      <c r="B1072" s="6" t="s">
        <v>2042</v>
      </c>
      <c r="C1072" s="325"/>
      <c r="D1072" s="326"/>
      <c r="E1072" s="326"/>
      <c r="F1072" s="326"/>
    </row>
    <row r="1073" spans="1:8" s="6" customFormat="1">
      <c r="B1073" s="6" t="s">
        <v>2043</v>
      </c>
      <c r="C1073" s="325" t="s">
        <v>280</v>
      </c>
      <c r="D1073" s="326">
        <f>(D1049)*0.25+7.5</f>
        <v>70</v>
      </c>
      <c r="E1073" s="326"/>
      <c r="F1073" s="326"/>
    </row>
    <row r="1074" spans="1:8" s="6" customFormat="1">
      <c r="B1074" s="6" t="s">
        <v>2044</v>
      </c>
      <c r="C1074" s="325" t="s">
        <v>280</v>
      </c>
      <c r="D1074" s="326">
        <f>(D1037+D1045)*0.25+12.5</f>
        <v>145</v>
      </c>
      <c r="E1074" s="326"/>
      <c r="F1074" s="326"/>
    </row>
    <row r="1075" spans="1:8" s="6" customFormat="1">
      <c r="B1075" s="6" t="s">
        <v>2045</v>
      </c>
      <c r="C1075" s="325" t="s">
        <v>280</v>
      </c>
      <c r="D1075" s="326">
        <f>(D1041+D1057)*0.25+7.5+7.5</f>
        <v>90</v>
      </c>
      <c r="E1075" s="326"/>
      <c r="F1075" s="326"/>
    </row>
    <row r="1076" spans="1:8" s="6" customFormat="1">
      <c r="C1076" s="325"/>
      <c r="D1076" s="326"/>
      <c r="E1076" s="326"/>
      <c r="F1076" s="326"/>
    </row>
    <row r="1077" spans="1:8" s="6" customFormat="1" ht="45">
      <c r="A1077" s="343" t="s">
        <v>2391</v>
      </c>
      <c r="B1077" s="6" t="s">
        <v>2060</v>
      </c>
      <c r="C1077" s="325"/>
      <c r="D1077" s="326"/>
      <c r="E1077" s="326"/>
      <c r="F1077" s="326"/>
    </row>
    <row r="1078" spans="1:8" s="6" customFormat="1">
      <c r="B1078" s="6" t="s">
        <v>2064</v>
      </c>
      <c r="C1078" s="325" t="s">
        <v>280</v>
      </c>
      <c r="D1078" s="326">
        <v>216</v>
      </c>
      <c r="E1078" s="326"/>
      <c r="F1078" s="326"/>
    </row>
    <row r="1079" spans="1:8" s="6" customFormat="1">
      <c r="C1079" s="325"/>
      <c r="D1079" s="326"/>
      <c r="E1079" s="326"/>
      <c r="F1079" s="326"/>
    </row>
    <row r="1080" spans="1:8" s="6" customFormat="1">
      <c r="C1080" s="325"/>
      <c r="D1080" s="326"/>
      <c r="E1080" s="326"/>
      <c r="F1080" s="326"/>
    </row>
    <row r="1081" spans="1:8" s="324" customFormat="1" ht="75">
      <c r="A1081" s="343" t="s">
        <v>2392</v>
      </c>
      <c r="B1081" s="6" t="s">
        <v>2393</v>
      </c>
      <c r="C1081" s="344" t="s">
        <v>76</v>
      </c>
      <c r="D1081" s="297">
        <v>1</v>
      </c>
      <c r="E1081" s="345"/>
      <c r="F1081" s="347"/>
      <c r="G1081" s="334"/>
      <c r="H1081" s="334"/>
    </row>
    <row r="1082" spans="1:8" s="6" customFormat="1">
      <c r="C1082" s="325"/>
      <c r="D1082" s="326"/>
      <c r="E1082" s="326"/>
      <c r="F1082" s="326"/>
    </row>
    <row r="1083" spans="1:8" s="6" customFormat="1">
      <c r="C1083" s="325"/>
      <c r="D1083" s="326"/>
      <c r="E1083" s="326"/>
      <c r="F1083" s="326"/>
    </row>
    <row r="1084" spans="1:8" s="6" customFormat="1">
      <c r="C1084" s="325"/>
      <c r="D1084" s="326"/>
      <c r="E1084" s="326"/>
      <c r="F1084" s="326"/>
    </row>
    <row r="1085" spans="1:8" s="5" customFormat="1">
      <c r="B1085" s="5" t="s">
        <v>2394</v>
      </c>
      <c r="C1085" s="260"/>
      <c r="D1085" s="328"/>
      <c r="E1085" s="328"/>
      <c r="F1085" s="328"/>
      <c r="G1085" s="327"/>
    </row>
    <row r="1086" spans="1:8" s="6" customFormat="1">
      <c r="C1086" s="325"/>
      <c r="D1086" s="326"/>
      <c r="E1086" s="326"/>
      <c r="F1086" s="326"/>
    </row>
    <row r="1087" spans="1:8" s="6" customFormat="1">
      <c r="C1087" s="325"/>
      <c r="D1087" s="326"/>
      <c r="E1087" s="326"/>
      <c r="F1087" s="326"/>
    </row>
    <row r="1088" spans="1:8" s="317" customFormat="1">
      <c r="A1088" s="317" t="s">
        <v>2451</v>
      </c>
      <c r="B1088" s="317" t="s">
        <v>808</v>
      </c>
      <c r="C1088" s="330"/>
      <c r="D1088" s="331"/>
      <c r="E1088" s="331"/>
      <c r="F1088" s="335"/>
      <c r="G1088" s="6"/>
    </row>
    <row r="1089" spans="1:6" s="6" customFormat="1">
      <c r="C1089" s="325"/>
      <c r="D1089" s="326"/>
      <c r="E1089" s="326"/>
      <c r="F1089" s="326"/>
    </row>
    <row r="1090" spans="1:6" s="6" customFormat="1">
      <c r="C1090" s="325"/>
      <c r="D1090" s="326"/>
      <c r="E1090" s="326"/>
      <c r="F1090" s="326"/>
    </row>
    <row r="1091" spans="1:6" s="6" customFormat="1" ht="45">
      <c r="A1091" s="6" t="s">
        <v>282</v>
      </c>
      <c r="B1091" s="6" t="s">
        <v>2395</v>
      </c>
      <c r="C1091" s="325" t="s">
        <v>18</v>
      </c>
      <c r="D1091" s="326">
        <v>24</v>
      </c>
      <c r="E1091" s="326"/>
      <c r="F1091" s="326"/>
    </row>
    <row r="1092" spans="1:6" s="6" customFormat="1">
      <c r="C1092" s="325"/>
      <c r="D1092" s="326"/>
      <c r="E1092" s="326"/>
      <c r="F1092" s="326"/>
    </row>
    <row r="1093" spans="1:6" s="6" customFormat="1" ht="30">
      <c r="A1093" s="6" t="s">
        <v>294</v>
      </c>
      <c r="B1093" s="6" t="s">
        <v>2396</v>
      </c>
      <c r="C1093" s="325" t="s">
        <v>18</v>
      </c>
      <c r="D1093" s="326">
        <v>48</v>
      </c>
      <c r="E1093" s="326"/>
      <c r="F1093" s="326"/>
    </row>
    <row r="1094" spans="1:6" s="6" customFormat="1">
      <c r="C1094" s="325"/>
      <c r="D1094" s="326"/>
      <c r="E1094" s="326"/>
      <c r="F1094" s="326"/>
    </row>
    <row r="1095" spans="1:6" s="6" customFormat="1" ht="60">
      <c r="A1095" s="6" t="s">
        <v>288</v>
      </c>
      <c r="B1095" s="6" t="s">
        <v>2397</v>
      </c>
      <c r="C1095" s="325" t="s">
        <v>18</v>
      </c>
      <c r="D1095" s="326">
        <v>24</v>
      </c>
      <c r="E1095" s="326"/>
      <c r="F1095" s="326"/>
    </row>
    <row r="1096" spans="1:6" s="6" customFormat="1">
      <c r="C1096" s="325"/>
      <c r="D1096" s="326"/>
      <c r="E1096" s="326"/>
      <c r="F1096" s="326"/>
    </row>
    <row r="1097" spans="1:6" s="6" customFormat="1" ht="30">
      <c r="A1097" s="6" t="s">
        <v>281</v>
      </c>
      <c r="B1097" s="6" t="s">
        <v>2398</v>
      </c>
      <c r="C1097" s="325" t="s">
        <v>18</v>
      </c>
      <c r="D1097" s="326">
        <v>24</v>
      </c>
      <c r="E1097" s="326"/>
      <c r="F1097" s="326"/>
    </row>
    <row r="1098" spans="1:6" s="6" customFormat="1">
      <c r="C1098" s="325"/>
      <c r="D1098" s="326"/>
      <c r="E1098" s="326"/>
      <c r="F1098" s="326"/>
    </row>
    <row r="1099" spans="1:6" s="6" customFormat="1" ht="30">
      <c r="A1099" s="6" t="s">
        <v>293</v>
      </c>
      <c r="B1099" s="6" t="s">
        <v>2399</v>
      </c>
      <c r="C1099" s="325" t="s">
        <v>18</v>
      </c>
      <c r="D1099" s="326">
        <v>150</v>
      </c>
      <c r="E1099" s="326"/>
      <c r="F1099" s="326"/>
    </row>
    <row r="1100" spans="1:6" s="6" customFormat="1">
      <c r="C1100" s="325"/>
      <c r="D1100" s="326"/>
      <c r="E1100" s="326"/>
      <c r="F1100" s="326"/>
    </row>
    <row r="1101" spans="1:6" s="6" customFormat="1">
      <c r="A1101" s="6" t="s">
        <v>300</v>
      </c>
      <c r="B1101" s="6" t="s">
        <v>2400</v>
      </c>
      <c r="C1101" s="325" t="s">
        <v>18</v>
      </c>
      <c r="D1101" s="326">
        <v>120</v>
      </c>
      <c r="E1101" s="326"/>
      <c r="F1101" s="326"/>
    </row>
    <row r="1102" spans="1:6" s="6" customFormat="1">
      <c r="C1102" s="325"/>
      <c r="D1102" s="326"/>
      <c r="E1102" s="326"/>
      <c r="F1102" s="326"/>
    </row>
    <row r="1103" spans="1:6" s="6" customFormat="1" ht="45">
      <c r="A1103" s="6" t="s">
        <v>301</v>
      </c>
      <c r="B1103" s="6" t="s">
        <v>2401</v>
      </c>
      <c r="C1103" s="325" t="s">
        <v>18</v>
      </c>
      <c r="D1103" s="326">
        <v>400</v>
      </c>
      <c r="E1103" s="326"/>
      <c r="F1103" s="326"/>
    </row>
    <row r="1104" spans="1:6" s="6" customFormat="1">
      <c r="C1104" s="325"/>
      <c r="D1104" s="326"/>
      <c r="E1104" s="326"/>
      <c r="F1104" s="326"/>
    </row>
    <row r="1105" spans="1:6" s="6" customFormat="1" ht="75">
      <c r="A1105" s="6" t="s">
        <v>302</v>
      </c>
      <c r="B1105" s="6" t="s">
        <v>2402</v>
      </c>
      <c r="C1105" s="325" t="s">
        <v>18</v>
      </c>
      <c r="D1105" s="326">
        <v>200</v>
      </c>
      <c r="E1105" s="326"/>
      <c r="F1105" s="326"/>
    </row>
    <row r="1106" spans="1:6" s="6" customFormat="1">
      <c r="C1106" s="325"/>
      <c r="D1106" s="326"/>
      <c r="E1106" s="326"/>
      <c r="F1106" s="326"/>
    </row>
    <row r="1107" spans="1:6" s="6" customFormat="1" ht="45">
      <c r="A1107" s="6" t="s">
        <v>303</v>
      </c>
      <c r="B1107" s="6" t="s">
        <v>2403</v>
      </c>
      <c r="C1107" s="325" t="s">
        <v>18</v>
      </c>
      <c r="D1107" s="326">
        <v>60</v>
      </c>
      <c r="E1107" s="326"/>
      <c r="F1107" s="326"/>
    </row>
    <row r="1108" spans="1:6" s="6" customFormat="1">
      <c r="C1108" s="325"/>
      <c r="D1108" s="326"/>
      <c r="E1108" s="326"/>
      <c r="F1108" s="326"/>
    </row>
    <row r="1109" spans="1:6" s="6" customFormat="1" ht="60">
      <c r="A1109" s="6" t="s">
        <v>304</v>
      </c>
      <c r="B1109" s="6" t="s">
        <v>2404</v>
      </c>
      <c r="C1109" s="325" t="s">
        <v>18</v>
      </c>
      <c r="D1109" s="326">
        <v>30</v>
      </c>
      <c r="E1109" s="326"/>
      <c r="F1109" s="326"/>
    </row>
    <row r="1110" spans="1:6" s="6" customFormat="1">
      <c r="C1110" s="325"/>
      <c r="D1110" s="326"/>
      <c r="E1110" s="326"/>
      <c r="F1110" s="326"/>
    </row>
    <row r="1111" spans="1:6" s="6" customFormat="1" ht="60">
      <c r="A1111" s="6" t="s">
        <v>305</v>
      </c>
      <c r="B1111" s="6" t="s">
        <v>2405</v>
      </c>
      <c r="C1111" s="325" t="s">
        <v>18</v>
      </c>
      <c r="D1111" s="326">
        <v>24</v>
      </c>
      <c r="E1111" s="326"/>
      <c r="F1111" s="326"/>
    </row>
    <row r="1112" spans="1:6" s="6" customFormat="1">
      <c r="C1112" s="325"/>
      <c r="D1112" s="326"/>
      <c r="E1112" s="326"/>
      <c r="F1112" s="326"/>
    </row>
    <row r="1113" spans="1:6" s="6" customFormat="1" ht="60">
      <c r="A1113" s="6">
        <v>12</v>
      </c>
      <c r="B1113" s="6" t="s">
        <v>2406</v>
      </c>
      <c r="C1113" s="325" t="s">
        <v>18</v>
      </c>
      <c r="D1113" s="326">
        <v>1</v>
      </c>
      <c r="E1113" s="326"/>
      <c r="F1113" s="326"/>
    </row>
    <row r="1114" spans="1:6" s="6" customFormat="1">
      <c r="C1114" s="325"/>
      <c r="D1114" s="326"/>
      <c r="E1114" s="326"/>
      <c r="F1114" s="326"/>
    </row>
    <row r="1115" spans="1:6" s="6" customFormat="1" ht="30">
      <c r="A1115" s="6" t="s">
        <v>307</v>
      </c>
      <c r="B1115" s="6" t="s">
        <v>2407</v>
      </c>
      <c r="C1115" s="325" t="s">
        <v>280</v>
      </c>
      <c r="D1115" s="326">
        <v>600</v>
      </c>
      <c r="E1115" s="326"/>
      <c r="F1115" s="326"/>
    </row>
    <row r="1116" spans="1:6" s="6" customFormat="1">
      <c r="C1116" s="325"/>
      <c r="D1116" s="326"/>
      <c r="E1116" s="326"/>
      <c r="F1116" s="326"/>
    </row>
    <row r="1117" spans="1:6" s="6" customFormat="1" ht="45">
      <c r="A1117" s="6" t="s">
        <v>308</v>
      </c>
      <c r="B1117" s="6" t="s">
        <v>2408</v>
      </c>
      <c r="C1117" s="325" t="s">
        <v>280</v>
      </c>
      <c r="D1117" s="326">
        <v>415</v>
      </c>
      <c r="E1117" s="326"/>
      <c r="F1117" s="326"/>
    </row>
    <row r="1118" spans="1:6" s="6" customFormat="1">
      <c r="C1118" s="325"/>
      <c r="D1118" s="326"/>
      <c r="E1118" s="326"/>
      <c r="F1118" s="326"/>
    </row>
    <row r="1119" spans="1:6" s="6" customFormat="1">
      <c r="A1119" s="6" t="s">
        <v>309</v>
      </c>
      <c r="B1119" s="6" t="s">
        <v>2409</v>
      </c>
      <c r="C1119" s="325" t="s">
        <v>18</v>
      </c>
      <c r="D1119" s="326">
        <v>48</v>
      </c>
      <c r="E1119" s="326"/>
      <c r="F1119" s="326"/>
    </row>
    <row r="1120" spans="1:6" s="6" customFormat="1">
      <c r="C1120" s="325"/>
      <c r="D1120" s="326"/>
      <c r="E1120" s="326"/>
      <c r="F1120" s="326"/>
    </row>
    <row r="1121" spans="1:7" s="6" customFormat="1" ht="75">
      <c r="A1121" s="6" t="s">
        <v>310</v>
      </c>
      <c r="B1121" s="6" t="s">
        <v>2410</v>
      </c>
      <c r="C1121" s="325" t="s">
        <v>280</v>
      </c>
      <c r="D1121" s="326">
        <v>385</v>
      </c>
      <c r="E1121" s="326"/>
      <c r="F1121" s="326"/>
    </row>
    <row r="1122" spans="1:7" s="6" customFormat="1">
      <c r="D1122" s="327"/>
      <c r="E1122" s="327"/>
      <c r="F1122" s="327"/>
    </row>
    <row r="1123" spans="1:7" s="6" customFormat="1" ht="30">
      <c r="A1123" s="6" t="s">
        <v>311</v>
      </c>
      <c r="B1123" s="6" t="s">
        <v>2411</v>
      </c>
      <c r="C1123" s="325" t="s">
        <v>18</v>
      </c>
      <c r="D1123" s="326">
        <v>60</v>
      </c>
      <c r="E1123" s="326"/>
      <c r="F1123" s="326"/>
    </row>
    <row r="1124" spans="1:7" s="6" customFormat="1">
      <c r="C1124" s="325"/>
      <c r="D1124" s="326"/>
      <c r="E1124" s="326"/>
      <c r="F1124" s="326"/>
    </row>
    <row r="1125" spans="1:7" s="6" customFormat="1" ht="30">
      <c r="A1125" s="6" t="s">
        <v>1775</v>
      </c>
      <c r="B1125" s="6" t="s">
        <v>2412</v>
      </c>
      <c r="C1125" s="325" t="s">
        <v>18</v>
      </c>
      <c r="D1125" s="326">
        <v>1</v>
      </c>
      <c r="E1125" s="326"/>
      <c r="F1125" s="326"/>
    </row>
    <row r="1126" spans="1:7" s="6" customFormat="1">
      <c r="D1126" s="327"/>
      <c r="E1126" s="327"/>
      <c r="F1126" s="327"/>
    </row>
    <row r="1127" spans="1:7" s="6" customFormat="1" ht="45">
      <c r="A1127" s="6" t="s">
        <v>1778</v>
      </c>
      <c r="B1127" s="6" t="s">
        <v>2413</v>
      </c>
      <c r="C1127" s="325" t="s">
        <v>18</v>
      </c>
      <c r="D1127" s="326">
        <f>D1125</f>
        <v>1</v>
      </c>
      <c r="E1127" s="326"/>
      <c r="F1127" s="326"/>
    </row>
    <row r="1128" spans="1:7" s="6" customFormat="1">
      <c r="D1128" s="327"/>
      <c r="E1128" s="327"/>
      <c r="F1128" s="327"/>
    </row>
    <row r="1129" spans="1:7" s="6" customFormat="1" ht="105">
      <c r="A1129" s="6" t="s">
        <v>1780</v>
      </c>
      <c r="B1129" s="6" t="s">
        <v>2414</v>
      </c>
      <c r="C1129" s="325" t="s">
        <v>18</v>
      </c>
      <c r="D1129" s="326">
        <v>6</v>
      </c>
      <c r="E1129" s="326"/>
      <c r="F1129" s="326"/>
    </row>
    <row r="1130" spans="1:7" s="6" customFormat="1">
      <c r="C1130" s="325"/>
      <c r="D1130" s="326"/>
      <c r="E1130" s="326"/>
      <c r="F1130" s="326"/>
    </row>
    <row r="1131" spans="1:7" s="6" customFormat="1" ht="45">
      <c r="A1131" s="6" t="s">
        <v>1782</v>
      </c>
      <c r="B1131" s="6" t="s">
        <v>2415</v>
      </c>
      <c r="C1131" s="325" t="s">
        <v>283</v>
      </c>
      <c r="D1131" s="326">
        <v>1</v>
      </c>
      <c r="E1131" s="326"/>
      <c r="F1131" s="326"/>
    </row>
    <row r="1132" spans="1:7" s="6" customFormat="1">
      <c r="C1132" s="325"/>
      <c r="D1132" s="326"/>
      <c r="E1132" s="326"/>
      <c r="F1132" s="326"/>
    </row>
    <row r="1133" spans="1:7" s="6" customFormat="1">
      <c r="C1133" s="325"/>
      <c r="D1133" s="326"/>
      <c r="E1133" s="326"/>
      <c r="F1133" s="326"/>
    </row>
    <row r="1134" spans="1:7" s="6" customFormat="1">
      <c r="C1134" s="325"/>
      <c r="D1134" s="326"/>
      <c r="E1134" s="326"/>
      <c r="F1134" s="326"/>
    </row>
    <row r="1135" spans="1:7" s="5" customFormat="1">
      <c r="B1135" s="5" t="s">
        <v>2416</v>
      </c>
      <c r="C1135" s="260"/>
      <c r="D1135" s="328"/>
      <c r="E1135" s="328"/>
      <c r="F1135" s="328"/>
      <c r="G1135" s="6"/>
    </row>
    <row r="1136" spans="1:7" s="6" customFormat="1">
      <c r="C1136" s="325"/>
      <c r="D1136" s="326"/>
      <c r="E1136" s="326"/>
      <c r="F1136" s="326"/>
    </row>
    <row r="1137" spans="1:7" s="5" customFormat="1">
      <c r="C1137" s="260"/>
      <c r="D1137" s="328"/>
      <c r="E1137" s="328"/>
      <c r="F1137" s="328"/>
    </row>
    <row r="1138" spans="1:7" s="317" customFormat="1">
      <c r="A1138" s="317" t="s">
        <v>2452</v>
      </c>
      <c r="B1138" s="317" t="s">
        <v>676</v>
      </c>
      <c r="C1138" s="330"/>
      <c r="D1138" s="331"/>
      <c r="E1138" s="331"/>
      <c r="F1138" s="335"/>
      <c r="G1138" s="6"/>
    </row>
    <row r="1139" spans="1:7" s="6" customFormat="1">
      <c r="C1139" s="325"/>
      <c r="D1139" s="326"/>
      <c r="E1139" s="326"/>
      <c r="F1139" s="326"/>
    </row>
    <row r="1140" spans="1:7" s="6" customFormat="1">
      <c r="C1140" s="325"/>
      <c r="D1140" s="326"/>
      <c r="E1140" s="326"/>
      <c r="F1140" s="326"/>
    </row>
    <row r="1141" spans="1:7" s="6" customFormat="1" ht="75">
      <c r="A1141" s="6" t="s">
        <v>282</v>
      </c>
      <c r="B1141" s="6" t="s">
        <v>2417</v>
      </c>
      <c r="C1141" s="325" t="s">
        <v>2418</v>
      </c>
      <c r="D1141" s="326">
        <v>240</v>
      </c>
      <c r="E1141" s="326"/>
      <c r="F1141" s="326"/>
    </row>
    <row r="1142" spans="1:7" s="6" customFormat="1">
      <c r="D1142" s="327"/>
      <c r="E1142" s="327"/>
      <c r="F1142" s="327"/>
    </row>
    <row r="1143" spans="1:7" s="6" customFormat="1" ht="30">
      <c r="A1143" s="6" t="s">
        <v>294</v>
      </c>
      <c r="B1143" s="6" t="s">
        <v>2419</v>
      </c>
      <c r="C1143" s="325"/>
      <c r="D1143" s="326"/>
      <c r="E1143" s="326"/>
      <c r="F1143" s="326"/>
    </row>
    <row r="1144" spans="1:7" s="6" customFormat="1" ht="30">
      <c r="B1144" s="6" t="s">
        <v>2420</v>
      </c>
      <c r="C1144" s="325" t="s">
        <v>280</v>
      </c>
      <c r="D1144" s="326">
        <f>(D556+D557+D558+D632+D633+D702+D734+D809+D1073+D1074+D1075)/2+7.5</f>
        <v>3740</v>
      </c>
      <c r="E1144" s="326"/>
      <c r="F1144" s="326"/>
    </row>
    <row r="1145" spans="1:7" s="6" customFormat="1" ht="30">
      <c r="B1145" s="6" t="s">
        <v>2421</v>
      </c>
      <c r="C1145" s="325" t="s">
        <v>280</v>
      </c>
      <c r="D1145" s="326">
        <f>(D559+D560+D561+D562)/3+16.67</f>
        <v>550.00333333333333</v>
      </c>
      <c r="E1145" s="326"/>
      <c r="F1145" s="326"/>
    </row>
    <row r="1146" spans="1:7" s="6" customFormat="1" ht="60">
      <c r="B1146" s="6" t="s">
        <v>2422</v>
      </c>
      <c r="C1146" s="325" t="s">
        <v>18</v>
      </c>
      <c r="D1146" s="326">
        <v>18</v>
      </c>
      <c r="E1146" s="326"/>
      <c r="F1146" s="326"/>
    </row>
    <row r="1147" spans="1:7" s="6" customFormat="1" ht="45">
      <c r="B1147" s="6" t="s">
        <v>2423</v>
      </c>
      <c r="C1147" s="325" t="s">
        <v>18</v>
      </c>
      <c r="D1147" s="326">
        <v>6</v>
      </c>
      <c r="E1147" s="326"/>
      <c r="F1147" s="326"/>
    </row>
    <row r="1148" spans="1:7" s="6" customFormat="1" ht="45">
      <c r="B1148" s="6" t="s">
        <v>2424</v>
      </c>
      <c r="C1148" s="325" t="s">
        <v>18</v>
      </c>
      <c r="D1148" s="326">
        <v>8</v>
      </c>
      <c r="E1148" s="326"/>
      <c r="F1148" s="326"/>
    </row>
    <row r="1149" spans="1:7" s="6" customFormat="1">
      <c r="C1149" s="325"/>
      <c r="D1149" s="326"/>
      <c r="E1149" s="326"/>
      <c r="F1149" s="326"/>
    </row>
    <row r="1150" spans="1:7" s="6" customFormat="1" ht="45">
      <c r="A1150" s="6" t="s">
        <v>288</v>
      </c>
      <c r="B1150" s="6" t="s">
        <v>2425</v>
      </c>
      <c r="C1150" s="325" t="s">
        <v>280</v>
      </c>
      <c r="D1150" s="326">
        <v>16</v>
      </c>
      <c r="E1150" s="326"/>
      <c r="F1150" s="326"/>
    </row>
    <row r="1151" spans="1:7" s="6" customFormat="1">
      <c r="C1151" s="325"/>
      <c r="D1151" s="326"/>
      <c r="E1151" s="326"/>
      <c r="F1151" s="326"/>
    </row>
    <row r="1152" spans="1:7" s="6" customFormat="1" ht="45">
      <c r="A1152" s="6" t="s">
        <v>281</v>
      </c>
      <c r="B1152" s="6" t="s">
        <v>2426</v>
      </c>
      <c r="C1152" s="325" t="s">
        <v>2489</v>
      </c>
      <c r="D1152" s="326">
        <v>6</v>
      </c>
      <c r="E1152" s="326"/>
      <c r="F1152" s="326"/>
    </row>
    <row r="1153" spans="1:6" s="6" customFormat="1">
      <c r="C1153" s="325"/>
      <c r="D1153" s="326"/>
      <c r="E1153" s="326"/>
      <c r="F1153" s="326"/>
    </row>
    <row r="1154" spans="1:6" s="6" customFormat="1" ht="30">
      <c r="A1154" s="6" t="s">
        <v>293</v>
      </c>
      <c r="B1154" s="6" t="s">
        <v>2427</v>
      </c>
      <c r="C1154" s="325" t="s">
        <v>2489</v>
      </c>
      <c r="D1154" s="326">
        <v>2</v>
      </c>
      <c r="E1154" s="326"/>
      <c r="F1154" s="326"/>
    </row>
    <row r="1155" spans="1:6" s="6" customFormat="1">
      <c r="C1155" s="325"/>
      <c r="D1155" s="326"/>
      <c r="E1155" s="326"/>
      <c r="F1155" s="326"/>
    </row>
    <row r="1156" spans="1:6" s="6" customFormat="1" ht="45">
      <c r="A1156" s="6" t="s">
        <v>300</v>
      </c>
      <c r="B1156" s="6" t="s">
        <v>2428</v>
      </c>
      <c r="C1156" s="325" t="s">
        <v>280</v>
      </c>
      <c r="D1156" s="326">
        <v>20</v>
      </c>
      <c r="E1156" s="326"/>
      <c r="F1156" s="326"/>
    </row>
    <row r="1157" spans="1:6" s="6" customFormat="1">
      <c r="C1157" s="325"/>
      <c r="D1157" s="326"/>
      <c r="E1157" s="326"/>
      <c r="F1157" s="326"/>
    </row>
    <row r="1158" spans="1:6" s="6" customFormat="1">
      <c r="A1158" s="6" t="s">
        <v>301</v>
      </c>
      <c r="B1158" s="6" t="s">
        <v>2429</v>
      </c>
      <c r="C1158" s="325"/>
      <c r="D1158" s="326"/>
      <c r="E1158" s="326"/>
      <c r="F1158" s="326"/>
    </row>
    <row r="1159" spans="1:6" s="6" customFormat="1">
      <c r="B1159" s="6" t="s">
        <v>2430</v>
      </c>
      <c r="C1159" s="325" t="s">
        <v>280</v>
      </c>
      <c r="D1159" s="326">
        <v>36</v>
      </c>
      <c r="E1159" s="326"/>
      <c r="F1159" s="326"/>
    </row>
    <row r="1160" spans="1:6" s="6" customFormat="1">
      <c r="C1160" s="325"/>
      <c r="D1160" s="326"/>
      <c r="E1160" s="326"/>
      <c r="F1160" s="326"/>
    </row>
    <row r="1161" spans="1:6" s="6" customFormat="1" ht="60">
      <c r="A1161" s="6" t="s">
        <v>302</v>
      </c>
      <c r="B1161" s="6" t="s">
        <v>2431</v>
      </c>
      <c r="C1161" s="325" t="s">
        <v>18</v>
      </c>
      <c r="D1161" s="326">
        <v>2</v>
      </c>
      <c r="E1161" s="326"/>
      <c r="F1161" s="326"/>
    </row>
    <row r="1162" spans="1:6" s="6" customFormat="1">
      <c r="C1162" s="325"/>
      <c r="D1162" s="326"/>
      <c r="E1162" s="326"/>
      <c r="F1162" s="326"/>
    </row>
    <row r="1163" spans="1:6" s="6" customFormat="1" ht="45">
      <c r="A1163" s="6" t="s">
        <v>303</v>
      </c>
      <c r="B1163" s="6" t="s">
        <v>2432</v>
      </c>
      <c r="C1163" s="325" t="s">
        <v>280</v>
      </c>
      <c r="D1163" s="326">
        <v>16</v>
      </c>
      <c r="E1163" s="326"/>
      <c r="F1163" s="326"/>
    </row>
    <row r="1164" spans="1:6" s="6" customFormat="1">
      <c r="C1164" s="325"/>
      <c r="D1164" s="326"/>
      <c r="E1164" s="326"/>
      <c r="F1164" s="326"/>
    </row>
    <row r="1165" spans="1:6" s="6" customFormat="1" ht="60">
      <c r="A1165" s="6" t="s">
        <v>304</v>
      </c>
      <c r="B1165" s="6" t="s">
        <v>2433</v>
      </c>
      <c r="C1165" s="325" t="s">
        <v>2489</v>
      </c>
      <c r="D1165" s="326">
        <v>4</v>
      </c>
      <c r="E1165" s="326"/>
      <c r="F1165" s="326"/>
    </row>
    <row r="1166" spans="1:6" s="6" customFormat="1">
      <c r="C1166" s="325"/>
      <c r="D1166" s="326"/>
      <c r="E1166" s="326"/>
      <c r="F1166" s="326"/>
    </row>
    <row r="1167" spans="1:6" s="6" customFormat="1" ht="60">
      <c r="A1167" s="6" t="s">
        <v>305</v>
      </c>
      <c r="B1167" s="6" t="s">
        <v>2434</v>
      </c>
      <c r="C1167" s="325" t="s">
        <v>280</v>
      </c>
      <c r="D1167" s="326">
        <v>16</v>
      </c>
      <c r="E1167" s="326"/>
      <c r="F1167" s="326"/>
    </row>
    <row r="1168" spans="1:6" s="6" customFormat="1">
      <c r="C1168" s="325"/>
      <c r="D1168" s="326"/>
      <c r="E1168" s="326"/>
      <c r="F1168" s="326"/>
    </row>
    <row r="1169" spans="1:6" s="6" customFormat="1" ht="75">
      <c r="A1169" s="6" t="s">
        <v>306</v>
      </c>
      <c r="B1169" s="6" t="s">
        <v>2435</v>
      </c>
      <c r="C1169" s="325" t="s">
        <v>674</v>
      </c>
      <c r="D1169" s="326">
        <v>1</v>
      </c>
      <c r="E1169" s="326"/>
      <c r="F1169" s="326"/>
    </row>
    <row r="1170" spans="1:6" s="6" customFormat="1">
      <c r="C1170" s="325"/>
      <c r="D1170" s="326"/>
      <c r="E1170" s="326"/>
      <c r="F1170" s="326"/>
    </row>
    <row r="1171" spans="1:6" s="6" customFormat="1" ht="30">
      <c r="A1171" s="6" t="s">
        <v>307</v>
      </c>
      <c r="B1171" s="6" t="s">
        <v>2436</v>
      </c>
      <c r="C1171" s="325"/>
      <c r="D1171" s="326"/>
      <c r="E1171" s="326"/>
      <c r="F1171" s="326"/>
    </row>
    <row r="1172" spans="1:6" s="6" customFormat="1">
      <c r="B1172" s="6" t="s">
        <v>2437</v>
      </c>
      <c r="C1172" s="325" t="s">
        <v>2418</v>
      </c>
      <c r="D1172" s="326">
        <v>80</v>
      </c>
      <c r="E1172" s="326"/>
      <c r="F1172" s="326"/>
    </row>
    <row r="1173" spans="1:6" s="6" customFormat="1">
      <c r="B1173" s="6" t="s">
        <v>2438</v>
      </c>
      <c r="C1173" s="325" t="s">
        <v>2418</v>
      </c>
      <c r="D1173" s="326">
        <v>40</v>
      </c>
      <c r="E1173" s="326"/>
      <c r="F1173" s="326"/>
    </row>
    <row r="1174" spans="1:6" s="6" customFormat="1">
      <c r="C1174" s="325"/>
      <c r="D1174" s="326"/>
      <c r="E1174" s="326"/>
      <c r="F1174" s="326"/>
    </row>
    <row r="1175" spans="1:6" s="6" customFormat="1" ht="90">
      <c r="A1175" s="6" t="s">
        <v>308</v>
      </c>
      <c r="B1175" s="6" t="s">
        <v>2439</v>
      </c>
      <c r="C1175" s="325" t="s">
        <v>2418</v>
      </c>
      <c r="D1175" s="326">
        <v>40</v>
      </c>
      <c r="E1175" s="326"/>
      <c r="F1175" s="326"/>
    </row>
    <row r="1176" spans="1:6" s="6" customFormat="1">
      <c r="C1176" s="325"/>
      <c r="D1176" s="326"/>
      <c r="E1176" s="326"/>
      <c r="F1176" s="326"/>
    </row>
    <row r="1177" spans="1:6" s="6" customFormat="1" ht="180">
      <c r="A1177" s="6" t="s">
        <v>309</v>
      </c>
      <c r="B1177" s="6" t="s">
        <v>2440</v>
      </c>
      <c r="C1177" s="325" t="s">
        <v>283</v>
      </c>
      <c r="D1177" s="326">
        <v>1</v>
      </c>
      <c r="E1177" s="326"/>
      <c r="F1177" s="326"/>
    </row>
    <row r="1178" spans="1:6" s="6" customFormat="1">
      <c r="C1178" s="325"/>
      <c r="D1178" s="326"/>
      <c r="E1178" s="326"/>
      <c r="F1178" s="326"/>
    </row>
    <row r="1179" spans="1:6" s="6" customFormat="1" ht="225">
      <c r="A1179" s="6" t="s">
        <v>310</v>
      </c>
      <c r="B1179" s="6" t="s">
        <v>2441</v>
      </c>
      <c r="C1179" s="325" t="s">
        <v>283</v>
      </c>
      <c r="D1179" s="326">
        <v>1</v>
      </c>
      <c r="E1179" s="326"/>
      <c r="F1179" s="326"/>
    </row>
    <row r="1180" spans="1:6" s="6" customFormat="1">
      <c r="C1180" s="325"/>
      <c r="D1180" s="326"/>
      <c r="E1180" s="326"/>
      <c r="F1180" s="326"/>
    </row>
    <row r="1181" spans="1:6" s="6" customFormat="1">
      <c r="C1181" s="325"/>
      <c r="D1181" s="326"/>
      <c r="E1181" s="326"/>
      <c r="F1181" s="326"/>
    </row>
    <row r="1182" spans="1:6" s="6" customFormat="1">
      <c r="C1182" s="325"/>
      <c r="D1182" s="326"/>
      <c r="E1182" s="326"/>
      <c r="F1182" s="326"/>
    </row>
    <row r="1183" spans="1:6" s="5" customFormat="1">
      <c r="B1183" s="5" t="s">
        <v>680</v>
      </c>
      <c r="C1183" s="260"/>
      <c r="D1183" s="328"/>
      <c r="E1183" s="328"/>
      <c r="F1183" s="328"/>
    </row>
    <row r="1184" spans="1:6" s="5" customFormat="1">
      <c r="C1184" s="260"/>
      <c r="D1184" s="328"/>
      <c r="E1184" s="328"/>
      <c r="F1184" s="328"/>
    </row>
    <row r="1185" spans="1:7" s="6" customFormat="1">
      <c r="C1185" s="325"/>
      <c r="D1185" s="326"/>
      <c r="E1185" s="326"/>
      <c r="F1185" s="326"/>
    </row>
    <row r="1186" spans="1:7" s="6" customFormat="1">
      <c r="C1186" s="325"/>
      <c r="D1186" s="326"/>
      <c r="E1186" s="326"/>
      <c r="F1186" s="326"/>
    </row>
    <row r="1187" spans="1:7" s="6" customFormat="1">
      <c r="C1187" s="325"/>
      <c r="D1187" s="326"/>
      <c r="E1187" s="326"/>
      <c r="F1187" s="326"/>
    </row>
    <row r="1188" spans="1:7" s="317" customFormat="1">
      <c r="B1188" s="317" t="s">
        <v>675</v>
      </c>
      <c r="C1188" s="330"/>
      <c r="D1188" s="331"/>
      <c r="E1188" s="331"/>
      <c r="F1188" s="331"/>
    </row>
    <row r="1189" spans="1:7" s="6" customFormat="1">
      <c r="C1189" s="325"/>
      <c r="D1189" s="326"/>
      <c r="E1189" s="326"/>
      <c r="F1189" s="326"/>
    </row>
    <row r="1190" spans="1:7" s="5" customFormat="1">
      <c r="A1190" s="5" t="str">
        <f>A98</f>
        <v>A/</v>
      </c>
      <c r="B1190" s="5" t="str">
        <f>B98</f>
        <v>NN PRIKLJUČAK</v>
      </c>
      <c r="C1190" s="260"/>
      <c r="D1190" s="328"/>
      <c r="E1190" s="328"/>
      <c r="F1190" s="328"/>
      <c r="G1190" s="326"/>
    </row>
    <row r="1191" spans="1:7" s="5" customFormat="1">
      <c r="A1191" s="5" t="str">
        <f>A134</f>
        <v>B/</v>
      </c>
      <c r="B1191" s="5" t="str">
        <f>B134</f>
        <v>RAZVODNI ORMARI</v>
      </c>
      <c r="C1191" s="260"/>
      <c r="D1191" s="328"/>
      <c r="E1191" s="328"/>
      <c r="F1191" s="328"/>
      <c r="G1191" s="326"/>
    </row>
    <row r="1192" spans="1:7" s="5" customFormat="1">
      <c r="A1192" s="5" t="str">
        <f>A339</f>
        <v>C/</v>
      </c>
      <c r="B1192" s="5" t="str">
        <f>B339</f>
        <v>RASVJETA</v>
      </c>
      <c r="C1192" s="260"/>
      <c r="D1192" s="328"/>
      <c r="E1192" s="328"/>
      <c r="F1192" s="328"/>
      <c r="G1192" s="326"/>
    </row>
    <row r="1193" spans="1:7" s="5" customFormat="1" ht="30">
      <c r="A1193" s="5" t="str">
        <f>A452</f>
        <v>D/</v>
      </c>
      <c r="B1193" s="5" t="str">
        <f>B452</f>
        <v>INSTALACIJSKI MATERIJAL I TEHNOLOŠKI PRIKLJUČCI</v>
      </c>
      <c r="C1193" s="260"/>
      <c r="D1193" s="328"/>
      <c r="E1193" s="328"/>
      <c r="F1193" s="328"/>
      <c r="G1193" s="326"/>
    </row>
    <row r="1194" spans="1:7" s="5" customFormat="1">
      <c r="A1194" s="5" t="str">
        <f>A508</f>
        <v>E/</v>
      </c>
      <c r="B1194" s="5" t="str">
        <f>B508</f>
        <v>KABELI I KABELSKE POLICE</v>
      </c>
      <c r="C1194" s="260"/>
      <c r="D1194" s="328"/>
      <c r="E1194" s="328"/>
      <c r="F1194" s="328"/>
      <c r="G1194" s="326"/>
    </row>
    <row r="1195" spans="1:7" s="5" customFormat="1">
      <c r="A1195" s="5" t="str">
        <f>A593</f>
        <v>F/</v>
      </c>
      <c r="B1195" s="5" t="str">
        <f>B593</f>
        <v>INSTALACIJA STRUKTURNOG KABLIRANJA</v>
      </c>
      <c r="C1195" s="260"/>
      <c r="D1195" s="328"/>
      <c r="E1195" s="328"/>
      <c r="F1195" s="328"/>
      <c r="G1195" s="326"/>
    </row>
    <row r="1196" spans="1:7" s="5" customFormat="1">
      <c r="A1196" s="5" t="str">
        <f>A654</f>
        <v>G/</v>
      </c>
      <c r="B1196" s="5" t="str">
        <f>B654</f>
        <v xml:space="preserve">ANTENSKA INSTALACIJA </v>
      </c>
      <c r="C1196" s="260"/>
      <c r="D1196" s="328"/>
      <c r="E1196" s="328"/>
      <c r="F1196" s="328"/>
      <c r="G1196" s="326"/>
    </row>
    <row r="1197" spans="1:7" s="5" customFormat="1">
      <c r="A1197" s="5" t="str">
        <f>A715</f>
        <v>H/</v>
      </c>
      <c r="B1197" s="5" t="str">
        <f>B715</f>
        <v>SOS SUSTAV</v>
      </c>
      <c r="C1197" s="260"/>
      <c r="D1197" s="328"/>
      <c r="E1197" s="328"/>
      <c r="F1197" s="328"/>
      <c r="G1197" s="326"/>
    </row>
    <row r="1198" spans="1:7" s="5" customFormat="1">
      <c r="A1198" s="5" t="str">
        <f>A741</f>
        <v>I/</v>
      </c>
      <c r="B1198" s="5" t="str">
        <f>B741</f>
        <v>MULTIMEDIJA I OZVUČENJE</v>
      </c>
      <c r="C1198" s="260"/>
      <c r="D1198" s="328"/>
      <c r="E1198" s="328"/>
      <c r="F1198" s="328"/>
      <c r="G1198" s="326"/>
    </row>
    <row r="1199" spans="1:7" s="5" customFormat="1">
      <c r="A1199" s="5" t="str">
        <f>A1088</f>
        <v>J/</v>
      </c>
      <c r="B1199" s="5" t="str">
        <f>B1088</f>
        <v>GROMOBRANSKA INSTALACIJA</v>
      </c>
      <c r="C1199" s="260"/>
      <c r="D1199" s="328"/>
      <c r="E1199" s="328"/>
      <c r="F1199" s="328"/>
      <c r="G1199" s="326"/>
    </row>
    <row r="1200" spans="1:7" s="5" customFormat="1">
      <c r="A1200" s="5" t="str">
        <f>A1138</f>
        <v>K/</v>
      </c>
      <c r="B1200" s="5" t="str">
        <f>B1138</f>
        <v>OSTALI RADOVI</v>
      </c>
      <c r="C1200" s="260"/>
      <c r="D1200" s="328"/>
      <c r="E1200" s="328"/>
      <c r="F1200" s="328"/>
      <c r="G1200" s="326"/>
    </row>
    <row r="1201" spans="1:7" s="6" customFormat="1">
      <c r="C1201" s="325"/>
      <c r="D1201" s="326"/>
      <c r="E1201" s="326"/>
      <c r="F1201" s="326"/>
      <c r="G1201" s="326"/>
    </row>
    <row r="1203" spans="1:7">
      <c r="A1203" s="291" t="s">
        <v>689</v>
      </c>
      <c r="B1203" s="309" t="s">
        <v>817</v>
      </c>
      <c r="C1203" s="310"/>
      <c r="D1203" s="311"/>
      <c r="E1203" s="312"/>
      <c r="F1203" s="312"/>
    </row>
  </sheetData>
  <protectedRanges>
    <protectedRange sqref="E586" name="Range1_2"/>
    <protectedRange sqref="E1145:E1146 E1174:E1175" name="Range1_1_1"/>
    <protectedRange sqref="E502:E503" name="Range1_12"/>
    <protectedRange sqref="E491:E493" name="Range1_12_1_1"/>
    <protectedRange sqref="E1172:E1173 E1178:E1179 E1143:E1144" name="Range1_3_2"/>
    <protectedRange sqref="E455" name="Range1_11_1_1"/>
    <protectedRange sqref="E463" name="Range1_11_1_2_1"/>
    <protectedRange sqref="E501" name="Range1_12_6_1"/>
    <protectedRange sqref="F499:F500" name="Range1_23_2_5"/>
    <protectedRange sqref="E499:E500" name="Range1_12_6_2"/>
    <protectedRange sqref="E128:F129" name="Range1_1_1_1"/>
    <protectedRange sqref="E1141:E1142" name="Range1_3_2_1_1_1"/>
    <protectedRange sqref="E1151" name="Range1_11_1_1_2"/>
    <protectedRange sqref="F1166" name="Range1_23_2_4_3"/>
  </protectedRanges>
  <mergeCells count="88">
    <mergeCell ref="B17:F17"/>
    <mergeCell ref="B18:F18"/>
    <mergeCell ref="B19:F19"/>
    <mergeCell ref="B20:F20"/>
    <mergeCell ref="B21:F21"/>
    <mergeCell ref="B12:F12"/>
    <mergeCell ref="B13:F13"/>
    <mergeCell ref="B14:F14"/>
    <mergeCell ref="B15:F15"/>
    <mergeCell ref="B16:F16"/>
    <mergeCell ref="B7:F7"/>
    <mergeCell ref="B8:F8"/>
    <mergeCell ref="B9:F9"/>
    <mergeCell ref="B10:F10"/>
    <mergeCell ref="B11:F11"/>
    <mergeCell ref="B22:F22"/>
    <mergeCell ref="B23:F23"/>
    <mergeCell ref="B24:F24"/>
    <mergeCell ref="B26:F26"/>
    <mergeCell ref="B27:F27"/>
    <mergeCell ref="A25:B25"/>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B42:F42"/>
    <mergeCell ref="B43:F43"/>
    <mergeCell ref="B44:F44"/>
    <mergeCell ref="B45:F45"/>
    <mergeCell ref="B46:F46"/>
    <mergeCell ref="B47:F47"/>
    <mergeCell ref="B48:F48"/>
    <mergeCell ref="B49:F49"/>
    <mergeCell ref="B50:F50"/>
    <mergeCell ref="B51:F51"/>
    <mergeCell ref="B52:F52"/>
    <mergeCell ref="B53:F53"/>
    <mergeCell ref="B54:F54"/>
    <mergeCell ref="B55:F55"/>
    <mergeCell ref="B56:F56"/>
    <mergeCell ref="B57:F57"/>
    <mergeCell ref="B58:F58"/>
    <mergeCell ref="B59:F59"/>
    <mergeCell ref="B60:F60"/>
    <mergeCell ref="B61:F61"/>
    <mergeCell ref="B62:F62"/>
    <mergeCell ref="B63:F63"/>
    <mergeCell ref="B64:F64"/>
    <mergeCell ref="B65:F65"/>
    <mergeCell ref="B66:F66"/>
    <mergeCell ref="B67:F67"/>
    <mergeCell ref="B68:F68"/>
    <mergeCell ref="B69:F69"/>
    <mergeCell ref="B70:F70"/>
    <mergeCell ref="B71:F71"/>
    <mergeCell ref="B72:F72"/>
    <mergeCell ref="B73:F73"/>
    <mergeCell ref="B74:F74"/>
    <mergeCell ref="B75:F75"/>
    <mergeCell ref="B76:F76"/>
    <mergeCell ref="B77:F77"/>
    <mergeCell ref="B78:F78"/>
    <mergeCell ref="B79:F79"/>
    <mergeCell ref="B80:F80"/>
    <mergeCell ref="B81:F81"/>
    <mergeCell ref="B82:F82"/>
    <mergeCell ref="B83:F83"/>
    <mergeCell ref="B84:F84"/>
    <mergeCell ref="B85:F85"/>
    <mergeCell ref="B91:F91"/>
    <mergeCell ref="B92:F92"/>
    <mergeCell ref="B93:F93"/>
    <mergeCell ref="B94:F94"/>
    <mergeCell ref="B86:F86"/>
    <mergeCell ref="B87:F87"/>
    <mergeCell ref="B88:F88"/>
    <mergeCell ref="B89:F89"/>
    <mergeCell ref="B90:F90"/>
  </mergeCells>
  <pageMargins left="0.7" right="0.7" top="0.78749999999999998"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27.xml><?xml version="1.0" encoding="utf-8"?>
<worksheet xmlns="http://schemas.openxmlformats.org/spreadsheetml/2006/main" xmlns:r="http://schemas.openxmlformats.org/officeDocument/2006/relationships">
  <sheetPr>
    <tabColor rgb="FF00B050"/>
  </sheetPr>
  <dimension ref="A1:H307"/>
  <sheetViews>
    <sheetView showZeros="0" view="pageBreakPreview" topLeftCell="A172" zoomScaleNormal="85" zoomScaleSheetLayoutView="100" workbookViewId="0">
      <selection activeCell="E172" sqref="E172:H286"/>
    </sheetView>
  </sheetViews>
  <sheetFormatPr defaultColWidth="9.140625" defaultRowHeight="15"/>
  <cols>
    <col min="1" max="1" width="8.7109375" style="95" customWidth="1"/>
    <col min="2" max="2" width="45.140625" style="99" customWidth="1"/>
    <col min="3" max="3" width="8.5703125" style="100" customWidth="1"/>
    <col min="4" max="4" width="10.7109375" style="113" customWidth="1"/>
    <col min="5" max="5" width="13.85546875" style="221" customWidth="1"/>
    <col min="6" max="6" width="16.5703125" style="221" customWidth="1"/>
    <col min="7" max="8" width="9" style="98" customWidth="1"/>
    <col min="9" max="16384" width="9.140625" style="98"/>
  </cols>
  <sheetData>
    <row r="1" spans="1:8">
      <c r="A1" s="107" t="s">
        <v>260</v>
      </c>
      <c r="B1" s="107" t="s">
        <v>261</v>
      </c>
      <c r="C1" s="64" t="s">
        <v>262</v>
      </c>
      <c r="D1" s="109" t="s">
        <v>263</v>
      </c>
      <c r="E1" s="186" t="s">
        <v>264</v>
      </c>
      <c r="F1" s="187" t="s">
        <v>265</v>
      </c>
    </row>
    <row r="2" spans="1:8" ht="12" customHeight="1">
      <c r="A2" s="720"/>
      <c r="B2" s="720"/>
      <c r="C2" s="720"/>
      <c r="D2" s="720"/>
      <c r="E2" s="721" t="s">
        <v>267</v>
      </c>
      <c r="F2" s="721"/>
    </row>
    <row r="3" spans="1:8">
      <c r="A3" s="225" t="s">
        <v>710</v>
      </c>
      <c r="B3" s="96" t="s">
        <v>662</v>
      </c>
      <c r="D3" s="104"/>
      <c r="F3" s="222"/>
    </row>
    <row r="4" spans="1:8">
      <c r="B4" s="96"/>
      <c r="D4" s="104"/>
      <c r="F4" s="222"/>
    </row>
    <row r="5" spans="1:8">
      <c r="D5" s="104"/>
      <c r="E5" s="223"/>
      <c r="F5" s="222"/>
      <c r="H5" s="99"/>
    </row>
    <row r="6" spans="1:8">
      <c r="B6" s="99" t="s">
        <v>2490</v>
      </c>
      <c r="D6" s="104"/>
      <c r="E6" s="223"/>
      <c r="F6" s="222"/>
    </row>
    <row r="7" spans="1:8">
      <c r="D7" s="104"/>
      <c r="E7" s="223"/>
      <c r="F7" s="222"/>
    </row>
    <row r="8" spans="1:8">
      <c r="A8" s="354" t="s">
        <v>282</v>
      </c>
      <c r="B8" s="722" t="s">
        <v>1731</v>
      </c>
      <c r="C8" s="722"/>
      <c r="D8" s="722"/>
      <c r="E8" s="722"/>
      <c r="F8" s="722"/>
    </row>
    <row r="9" spans="1:8">
      <c r="A9" s="354"/>
      <c r="B9" s="351"/>
      <c r="C9" s="350"/>
      <c r="D9" s="352"/>
      <c r="E9" s="353"/>
      <c r="F9" s="352"/>
    </row>
    <row r="10" spans="1:8">
      <c r="A10" s="354" t="s">
        <v>294</v>
      </c>
      <c r="B10" s="722" t="s">
        <v>1732</v>
      </c>
      <c r="C10" s="722"/>
      <c r="D10" s="722"/>
      <c r="E10" s="722"/>
      <c r="F10" s="722"/>
    </row>
    <row r="11" spans="1:8">
      <c r="A11" s="354"/>
      <c r="B11" s="722" t="s">
        <v>1733</v>
      </c>
      <c r="C11" s="722"/>
      <c r="D11" s="722"/>
      <c r="E11" s="722"/>
      <c r="F11" s="722"/>
    </row>
    <row r="12" spans="1:8">
      <c r="A12" s="354"/>
      <c r="B12" s="351"/>
      <c r="C12" s="350"/>
      <c r="D12" s="352"/>
      <c r="E12" s="353"/>
      <c r="F12" s="352"/>
    </row>
    <row r="13" spans="1:8">
      <c r="A13" s="354" t="s">
        <v>288</v>
      </c>
      <c r="B13" s="722" t="s">
        <v>2491</v>
      </c>
      <c r="C13" s="722"/>
      <c r="D13" s="722"/>
      <c r="E13" s="722"/>
      <c r="F13" s="722"/>
    </row>
    <row r="14" spans="1:8">
      <c r="A14" s="354"/>
      <c r="B14" s="351"/>
      <c r="C14" s="350"/>
      <c r="D14" s="352"/>
      <c r="E14" s="353"/>
      <c r="F14" s="352"/>
    </row>
    <row r="15" spans="1:8">
      <c r="A15" s="354" t="s">
        <v>281</v>
      </c>
      <c r="B15" s="722" t="s">
        <v>1735</v>
      </c>
      <c r="C15" s="722"/>
      <c r="D15" s="722"/>
      <c r="E15" s="722"/>
      <c r="F15" s="722"/>
    </row>
    <row r="16" spans="1:8">
      <c r="A16" s="354"/>
      <c r="B16" s="722" t="s">
        <v>1736</v>
      </c>
      <c r="C16" s="722"/>
      <c r="D16" s="722"/>
      <c r="E16" s="722"/>
      <c r="F16" s="722"/>
    </row>
    <row r="17" spans="1:6">
      <c r="A17" s="354"/>
      <c r="B17" s="351"/>
      <c r="C17" s="350"/>
      <c r="D17" s="352"/>
      <c r="E17" s="353"/>
      <c r="F17" s="352"/>
    </row>
    <row r="18" spans="1:6">
      <c r="A18" s="354" t="s">
        <v>293</v>
      </c>
      <c r="B18" s="722" t="s">
        <v>1737</v>
      </c>
      <c r="C18" s="722"/>
      <c r="D18" s="722"/>
      <c r="E18" s="722"/>
      <c r="F18" s="722"/>
    </row>
    <row r="19" spans="1:6">
      <c r="A19" s="354"/>
      <c r="B19" s="351"/>
      <c r="C19" s="350"/>
      <c r="D19" s="352"/>
      <c r="E19" s="353"/>
      <c r="F19" s="352"/>
    </row>
    <row r="20" spans="1:6">
      <c r="A20" s="354" t="s">
        <v>300</v>
      </c>
      <c r="B20" s="722" t="s">
        <v>1738</v>
      </c>
      <c r="C20" s="722"/>
      <c r="D20" s="722"/>
      <c r="E20" s="722"/>
      <c r="F20" s="722"/>
    </row>
    <row r="21" spans="1:6">
      <c r="A21" s="354"/>
      <c r="B21" s="351"/>
      <c r="C21" s="350"/>
      <c r="D21" s="352"/>
      <c r="E21" s="353"/>
      <c r="F21" s="352"/>
    </row>
    <row r="22" spans="1:6">
      <c r="A22" s="354" t="s">
        <v>301</v>
      </c>
      <c r="B22" s="722" t="s">
        <v>1739</v>
      </c>
      <c r="C22" s="722"/>
      <c r="D22" s="722"/>
      <c r="E22" s="722"/>
      <c r="F22" s="722"/>
    </row>
    <row r="23" spans="1:6">
      <c r="A23" s="354"/>
      <c r="B23" s="722" t="s">
        <v>1740</v>
      </c>
      <c r="C23" s="722"/>
      <c r="D23" s="722"/>
      <c r="E23" s="722"/>
      <c r="F23" s="722"/>
    </row>
    <row r="24" spans="1:6">
      <c r="A24" s="354"/>
      <c r="B24" s="351"/>
      <c r="C24" s="350"/>
      <c r="D24" s="352"/>
      <c r="E24" s="353"/>
      <c r="F24" s="352"/>
    </row>
    <row r="25" spans="1:6">
      <c r="A25" s="354" t="s">
        <v>302</v>
      </c>
      <c r="B25" s="722" t="s">
        <v>1741</v>
      </c>
      <c r="C25" s="722"/>
      <c r="D25" s="722"/>
      <c r="E25" s="722"/>
      <c r="F25" s="722"/>
    </row>
    <row r="26" spans="1:6">
      <c r="A26" s="354"/>
      <c r="B26" s="351"/>
      <c r="C26" s="350"/>
      <c r="D26" s="352"/>
      <c r="E26" s="353"/>
      <c r="F26" s="352"/>
    </row>
    <row r="27" spans="1:6">
      <c r="A27" s="354" t="s">
        <v>303</v>
      </c>
      <c r="B27" s="722" t="s">
        <v>2492</v>
      </c>
      <c r="C27" s="722"/>
      <c r="D27" s="722"/>
      <c r="E27" s="722"/>
      <c r="F27" s="722"/>
    </row>
    <row r="28" spans="1:6">
      <c r="A28" s="354"/>
      <c r="B28" s="722" t="s">
        <v>1770</v>
      </c>
      <c r="C28" s="722"/>
      <c r="D28" s="722"/>
      <c r="E28" s="722"/>
      <c r="F28" s="722"/>
    </row>
    <row r="29" spans="1:6">
      <c r="A29" s="354"/>
      <c r="B29" s="351"/>
      <c r="C29" s="350"/>
      <c r="D29" s="352"/>
      <c r="E29" s="353"/>
      <c r="F29" s="352"/>
    </row>
    <row r="30" spans="1:6">
      <c r="A30" s="354" t="s">
        <v>304</v>
      </c>
      <c r="B30" s="722" t="s">
        <v>1771</v>
      </c>
      <c r="C30" s="722"/>
      <c r="D30" s="722"/>
      <c r="E30" s="722"/>
      <c r="F30" s="722"/>
    </row>
    <row r="31" spans="1:6">
      <c r="A31" s="349"/>
      <c r="B31" s="350"/>
      <c r="C31" s="350"/>
      <c r="D31" s="350"/>
      <c r="E31" s="350"/>
      <c r="F31" s="350"/>
    </row>
    <row r="32" spans="1:6" s="355" customFormat="1" ht="27" customHeight="1">
      <c r="A32" s="349" t="s">
        <v>305</v>
      </c>
      <c r="B32" s="722" t="s">
        <v>1772</v>
      </c>
      <c r="C32" s="722"/>
      <c r="D32" s="722"/>
      <c r="E32" s="722"/>
      <c r="F32" s="722"/>
    </row>
    <row r="33" spans="1:6" s="355" customFormat="1" ht="12.75">
      <c r="A33" s="349"/>
      <c r="B33" s="351"/>
      <c r="C33" s="350"/>
      <c r="D33" s="352"/>
      <c r="E33" s="353"/>
      <c r="F33" s="352"/>
    </row>
    <row r="34" spans="1:6" s="355" customFormat="1" ht="27.75" customHeight="1">
      <c r="A34" s="349" t="s">
        <v>306</v>
      </c>
      <c r="B34" s="722" t="s">
        <v>1773</v>
      </c>
      <c r="C34" s="722"/>
      <c r="D34" s="722"/>
      <c r="E34" s="722"/>
      <c r="F34" s="722"/>
    </row>
    <row r="35" spans="1:6" s="355" customFormat="1" ht="12.75">
      <c r="A35" s="349"/>
      <c r="B35" s="351"/>
      <c r="C35" s="350"/>
      <c r="D35" s="352"/>
      <c r="E35" s="353"/>
      <c r="F35" s="352"/>
    </row>
    <row r="36" spans="1:6" s="355" customFormat="1" ht="28.5" customHeight="1">
      <c r="A36" s="349" t="s">
        <v>307</v>
      </c>
      <c r="B36" s="722" t="s">
        <v>1774</v>
      </c>
      <c r="C36" s="722"/>
      <c r="D36" s="722"/>
      <c r="E36" s="722"/>
      <c r="F36" s="722"/>
    </row>
    <row r="37" spans="1:6" s="355" customFormat="1" ht="12.75">
      <c r="A37" s="349"/>
      <c r="B37" s="351"/>
      <c r="C37" s="350"/>
      <c r="D37" s="352"/>
      <c r="E37" s="353"/>
      <c r="F37" s="352"/>
    </row>
    <row r="38" spans="1:6" s="355" customFormat="1" ht="12.75">
      <c r="A38" s="349" t="s">
        <v>308</v>
      </c>
      <c r="B38" s="723" t="s">
        <v>1776</v>
      </c>
      <c r="C38" s="723"/>
      <c r="D38" s="723"/>
      <c r="E38" s="723"/>
      <c r="F38" s="723"/>
    </row>
    <row r="39" spans="1:6" s="355" customFormat="1" ht="31.5" customHeight="1">
      <c r="A39" s="349"/>
      <c r="B39" s="722" t="s">
        <v>1777</v>
      </c>
      <c r="C39" s="722"/>
      <c r="D39" s="722"/>
      <c r="E39" s="722"/>
      <c r="F39" s="722"/>
    </row>
    <row r="40" spans="1:6" s="355" customFormat="1" ht="12.75">
      <c r="A40" s="349"/>
      <c r="B40" s="357"/>
      <c r="C40" s="356"/>
      <c r="D40" s="358"/>
      <c r="E40" s="356"/>
      <c r="F40" s="358"/>
    </row>
    <row r="41" spans="1:6" s="355" customFormat="1" ht="26.25" customHeight="1">
      <c r="A41" s="349" t="s">
        <v>309</v>
      </c>
      <c r="B41" s="722" t="s">
        <v>1779</v>
      </c>
      <c r="C41" s="722"/>
      <c r="D41" s="722"/>
      <c r="E41" s="722"/>
      <c r="F41" s="722"/>
    </row>
    <row r="42" spans="1:6" s="355" customFormat="1" ht="12.75">
      <c r="A42" s="349"/>
      <c r="B42" s="357"/>
      <c r="C42" s="356"/>
      <c r="D42" s="359"/>
      <c r="E42" s="360"/>
      <c r="F42" s="359"/>
    </row>
    <row r="43" spans="1:6" s="355" customFormat="1" ht="42.75" customHeight="1">
      <c r="A43" s="349" t="s">
        <v>310</v>
      </c>
      <c r="B43" s="724" t="s">
        <v>1781</v>
      </c>
      <c r="C43" s="724"/>
      <c r="D43" s="724"/>
      <c r="E43" s="724"/>
      <c r="F43" s="724"/>
    </row>
    <row r="44" spans="1:6" s="355" customFormat="1" ht="12.75">
      <c r="A44" s="349"/>
      <c r="B44" s="357"/>
      <c r="C44" s="356"/>
      <c r="D44" s="358"/>
      <c r="E44" s="356"/>
      <c r="F44" s="358"/>
    </row>
    <row r="45" spans="1:6" s="355" customFormat="1" ht="12.75" customHeight="1">
      <c r="A45" s="349" t="s">
        <v>311</v>
      </c>
      <c r="B45" s="722" t="s">
        <v>1783</v>
      </c>
      <c r="C45" s="722"/>
      <c r="D45" s="722"/>
      <c r="E45" s="722"/>
      <c r="F45" s="722"/>
    </row>
    <row r="46" spans="1:6" s="355" customFormat="1" ht="26.25" customHeight="1">
      <c r="A46" s="349"/>
      <c r="B46" s="722" t="s">
        <v>2493</v>
      </c>
      <c r="C46" s="722"/>
      <c r="D46" s="722"/>
      <c r="E46" s="722"/>
      <c r="F46" s="722"/>
    </row>
    <row r="47" spans="1:6" s="355" customFormat="1" ht="12.75">
      <c r="A47" s="349"/>
      <c r="B47" s="357"/>
      <c r="C47" s="356"/>
      <c r="D47" s="359"/>
      <c r="E47" s="360"/>
      <c r="F47" s="359"/>
    </row>
    <row r="48" spans="1:6" s="355" customFormat="1" ht="29.25" customHeight="1">
      <c r="A48" s="349" t="s">
        <v>1775</v>
      </c>
      <c r="B48" s="722" t="s">
        <v>1786</v>
      </c>
      <c r="C48" s="722"/>
      <c r="D48" s="722"/>
      <c r="E48" s="722"/>
      <c r="F48" s="722"/>
    </row>
    <row r="49" spans="1:6" s="355" customFormat="1" ht="12.75">
      <c r="A49" s="349"/>
      <c r="B49" s="356"/>
      <c r="C49" s="356"/>
      <c r="D49" s="358"/>
      <c r="E49" s="356"/>
      <c r="F49" s="358"/>
    </row>
    <row r="50" spans="1:6" s="355" customFormat="1" ht="13.5" customHeight="1">
      <c r="A50" s="349" t="s">
        <v>1778</v>
      </c>
      <c r="B50" s="722" t="s">
        <v>1788</v>
      </c>
      <c r="C50" s="722"/>
      <c r="D50" s="722"/>
      <c r="E50" s="722"/>
      <c r="F50" s="722"/>
    </row>
    <row r="51" spans="1:6" s="355" customFormat="1" ht="12.75">
      <c r="A51" s="349"/>
      <c r="B51" s="350"/>
      <c r="C51" s="350"/>
      <c r="D51" s="361"/>
      <c r="E51" s="350"/>
      <c r="F51" s="361"/>
    </row>
    <row r="52" spans="1:6" s="355" customFormat="1" ht="42.75" customHeight="1">
      <c r="A52" s="349" t="s">
        <v>1780</v>
      </c>
      <c r="B52" s="722" t="s">
        <v>1790</v>
      </c>
      <c r="C52" s="722"/>
      <c r="D52" s="722"/>
      <c r="E52" s="722"/>
      <c r="F52" s="722"/>
    </row>
    <row r="53" spans="1:6" s="355" customFormat="1" ht="12.75">
      <c r="A53" s="349"/>
      <c r="B53" s="357"/>
      <c r="C53" s="356"/>
      <c r="D53" s="359"/>
      <c r="E53" s="360"/>
      <c r="F53" s="359"/>
    </row>
    <row r="54" spans="1:6" s="355" customFormat="1" ht="27" customHeight="1">
      <c r="A54" s="349" t="s">
        <v>1782</v>
      </c>
      <c r="B54" s="722" t="s">
        <v>2494</v>
      </c>
      <c r="C54" s="722"/>
      <c r="D54" s="722"/>
      <c r="E54" s="722"/>
      <c r="F54" s="722"/>
    </row>
    <row r="55" spans="1:6" s="355" customFormat="1" ht="12.75">
      <c r="A55" s="349"/>
      <c r="B55" s="357"/>
      <c r="C55" s="356"/>
      <c r="D55" s="359"/>
      <c r="E55" s="360"/>
      <c r="F55" s="359"/>
    </row>
    <row r="56" spans="1:6" s="355" customFormat="1" ht="56.25" customHeight="1">
      <c r="A56" s="349" t="s">
        <v>1785</v>
      </c>
      <c r="B56" s="722" t="s">
        <v>2495</v>
      </c>
      <c r="C56" s="722"/>
      <c r="D56" s="722"/>
      <c r="E56" s="722"/>
      <c r="F56" s="722"/>
    </row>
    <row r="57" spans="1:6">
      <c r="A57" s="349"/>
      <c r="B57" s="350"/>
      <c r="C57" s="350"/>
      <c r="D57" s="350"/>
      <c r="E57" s="350"/>
      <c r="F57" s="350"/>
    </row>
    <row r="58" spans="1:6" s="355" customFormat="1" ht="16.5" customHeight="1">
      <c r="A58" s="349" t="s">
        <v>1787</v>
      </c>
      <c r="B58" s="722" t="s">
        <v>2496</v>
      </c>
      <c r="C58" s="722"/>
      <c r="D58" s="722"/>
      <c r="E58" s="722"/>
      <c r="F58" s="722"/>
    </row>
    <row r="59" spans="1:6" s="355" customFormat="1" ht="12.75">
      <c r="A59" s="349"/>
      <c r="B59" s="357"/>
      <c r="C59" s="356"/>
      <c r="D59" s="359"/>
      <c r="E59" s="360"/>
      <c r="F59" s="359"/>
    </row>
    <row r="60" spans="1:6" s="355" customFormat="1" ht="27.75" customHeight="1">
      <c r="A60" s="349" t="s">
        <v>1789</v>
      </c>
      <c r="B60" s="722" t="s">
        <v>2497</v>
      </c>
      <c r="C60" s="722"/>
      <c r="D60" s="722"/>
      <c r="E60" s="722"/>
      <c r="F60" s="722"/>
    </row>
    <row r="61" spans="1:6" s="355" customFormat="1" ht="12.75">
      <c r="A61" s="349"/>
      <c r="B61" s="357"/>
      <c r="C61" s="356"/>
      <c r="D61" s="359"/>
      <c r="E61" s="360"/>
      <c r="F61" s="359"/>
    </row>
    <row r="62" spans="1:6" s="355" customFormat="1" ht="31.5" customHeight="1">
      <c r="A62" s="349" t="s">
        <v>2498</v>
      </c>
      <c r="B62" s="722" t="s">
        <v>2499</v>
      </c>
      <c r="C62" s="722"/>
      <c r="D62" s="722"/>
      <c r="E62" s="722"/>
      <c r="F62" s="722"/>
    </row>
    <row r="63" spans="1:6" s="355" customFormat="1" ht="12.75">
      <c r="A63" s="349"/>
      <c r="B63" s="357"/>
      <c r="C63" s="356"/>
      <c r="D63" s="359"/>
      <c r="E63" s="360"/>
      <c r="F63" s="359"/>
    </row>
    <row r="64" spans="1:6" s="355" customFormat="1" ht="26.25" customHeight="1">
      <c r="A64" s="349" t="s">
        <v>2500</v>
      </c>
      <c r="B64" s="722" t="s">
        <v>2501</v>
      </c>
      <c r="C64" s="722"/>
      <c r="D64" s="722"/>
      <c r="E64" s="722"/>
      <c r="F64" s="722"/>
    </row>
    <row r="65" spans="1:6" s="355" customFormat="1" ht="12.75">
      <c r="A65" s="349"/>
      <c r="B65" s="357"/>
      <c r="C65" s="356"/>
      <c r="D65" s="359"/>
      <c r="E65" s="360"/>
      <c r="F65" s="359"/>
    </row>
    <row r="66" spans="1:6" s="355" customFormat="1" ht="30" customHeight="1">
      <c r="A66" s="349" t="s">
        <v>2502</v>
      </c>
      <c r="B66" s="722" t="s">
        <v>2503</v>
      </c>
      <c r="C66" s="722"/>
      <c r="D66" s="722"/>
      <c r="E66" s="722"/>
      <c r="F66" s="722"/>
    </row>
    <row r="67" spans="1:6" s="355" customFormat="1" ht="12.75">
      <c r="A67" s="349"/>
      <c r="B67" s="357"/>
      <c r="C67" s="356"/>
      <c r="D67" s="359"/>
      <c r="E67" s="360"/>
      <c r="F67" s="359"/>
    </row>
    <row r="68" spans="1:6" s="355" customFormat="1" ht="15.75" customHeight="1">
      <c r="A68" s="349" t="s">
        <v>2504</v>
      </c>
      <c r="B68" s="722" t="s">
        <v>2505</v>
      </c>
      <c r="C68" s="722"/>
      <c r="D68" s="722"/>
      <c r="E68" s="722"/>
      <c r="F68" s="722"/>
    </row>
    <row r="69" spans="1:6" s="355" customFormat="1" ht="12.75">
      <c r="A69" s="349"/>
      <c r="B69" s="357"/>
      <c r="C69" s="356"/>
      <c r="D69" s="359"/>
      <c r="E69" s="360"/>
      <c r="F69" s="359"/>
    </row>
    <row r="70" spans="1:6" s="355" customFormat="1" ht="29.25" customHeight="1">
      <c r="A70" s="349" t="s">
        <v>2506</v>
      </c>
      <c r="B70" s="722" t="s">
        <v>2507</v>
      </c>
      <c r="C70" s="722"/>
      <c r="D70" s="722"/>
      <c r="E70" s="722"/>
      <c r="F70" s="722"/>
    </row>
    <row r="71" spans="1:6" s="355" customFormat="1" ht="12.75">
      <c r="A71" s="349"/>
      <c r="B71" s="357"/>
      <c r="C71" s="356"/>
      <c r="D71" s="359"/>
      <c r="E71" s="360"/>
      <c r="F71" s="359"/>
    </row>
    <row r="72" spans="1:6" s="355" customFormat="1" ht="26.25" customHeight="1">
      <c r="A72" s="349" t="s">
        <v>2508</v>
      </c>
      <c r="B72" s="722" t="s">
        <v>2509</v>
      </c>
      <c r="C72" s="722"/>
      <c r="D72" s="722"/>
      <c r="E72" s="722"/>
      <c r="F72" s="722"/>
    </row>
    <row r="73" spans="1:6" s="355" customFormat="1" ht="12.75">
      <c r="A73" s="349"/>
      <c r="B73" s="357"/>
      <c r="C73" s="356"/>
      <c r="D73" s="359"/>
      <c r="E73" s="360"/>
      <c r="F73" s="359"/>
    </row>
    <row r="74" spans="1:6" s="355" customFormat="1" ht="15.75" customHeight="1">
      <c r="A74" s="349" t="s">
        <v>2510</v>
      </c>
      <c r="B74" s="722" t="s">
        <v>2511</v>
      </c>
      <c r="C74" s="722"/>
      <c r="D74" s="722"/>
      <c r="E74" s="722"/>
      <c r="F74" s="722"/>
    </row>
    <row r="75" spans="1:6" s="355" customFormat="1" ht="12.75">
      <c r="A75" s="349"/>
      <c r="B75" s="357"/>
      <c r="C75" s="356"/>
      <c r="D75" s="359"/>
      <c r="E75" s="360"/>
      <c r="F75" s="359"/>
    </row>
    <row r="76" spans="1:6" s="355" customFormat="1" ht="27.75" customHeight="1">
      <c r="A76" s="349" t="s">
        <v>2512</v>
      </c>
      <c r="B76" s="722" t="s">
        <v>2513</v>
      </c>
      <c r="C76" s="722"/>
      <c r="D76" s="722"/>
      <c r="E76" s="722"/>
      <c r="F76" s="722"/>
    </row>
    <row r="77" spans="1:6" s="355" customFormat="1" ht="12.75">
      <c r="A77" s="349"/>
      <c r="B77" s="357"/>
      <c r="C77" s="356"/>
      <c r="D77" s="359"/>
      <c r="E77" s="360"/>
      <c r="F77" s="359"/>
    </row>
    <row r="78" spans="1:6" s="355" customFormat="1" ht="30.75" customHeight="1">
      <c r="A78" s="349" t="s">
        <v>2514</v>
      </c>
      <c r="B78" s="722" t="s">
        <v>2515</v>
      </c>
      <c r="C78" s="722"/>
      <c r="D78" s="722"/>
      <c r="E78" s="722"/>
      <c r="F78" s="722"/>
    </row>
    <row r="79" spans="1:6" s="355" customFormat="1" ht="12.75">
      <c r="A79" s="349"/>
      <c r="B79" s="357"/>
      <c r="C79" s="356"/>
      <c r="D79" s="359"/>
      <c r="E79" s="360"/>
      <c r="F79" s="359"/>
    </row>
    <row r="80" spans="1:6" s="355" customFormat="1" ht="27.75" customHeight="1">
      <c r="A80" s="349" t="s">
        <v>2516</v>
      </c>
      <c r="B80" s="722" t="s">
        <v>2517</v>
      </c>
      <c r="C80" s="722"/>
      <c r="D80" s="722"/>
      <c r="E80" s="722"/>
      <c r="F80" s="722"/>
    </row>
    <row r="81" spans="1:6" s="355" customFormat="1" ht="12.75">
      <c r="A81" s="349"/>
      <c r="B81" s="357"/>
      <c r="C81" s="356"/>
      <c r="D81" s="359"/>
      <c r="E81" s="360"/>
      <c r="F81" s="359"/>
    </row>
    <row r="82" spans="1:6" s="355" customFormat="1" ht="17.25" customHeight="1">
      <c r="A82" s="349" t="s">
        <v>2518</v>
      </c>
      <c r="B82" s="722" t="s">
        <v>2519</v>
      </c>
      <c r="C82" s="722"/>
      <c r="D82" s="722"/>
      <c r="E82" s="722"/>
      <c r="F82" s="722"/>
    </row>
    <row r="83" spans="1:6" s="355" customFormat="1" ht="12.75">
      <c r="A83" s="349"/>
      <c r="B83" s="357"/>
      <c r="C83" s="356"/>
      <c r="D83" s="359"/>
      <c r="E83" s="360"/>
      <c r="F83" s="359"/>
    </row>
    <row r="84" spans="1:6" s="355" customFormat="1" ht="17.25" customHeight="1">
      <c r="A84" s="349" t="s">
        <v>2520</v>
      </c>
      <c r="B84" s="722" t="s">
        <v>2521</v>
      </c>
      <c r="C84" s="722"/>
      <c r="D84" s="722"/>
      <c r="E84" s="722"/>
      <c r="F84" s="722"/>
    </row>
    <row r="85" spans="1:6" s="355" customFormat="1" ht="12.75">
      <c r="A85" s="349"/>
      <c r="B85" s="357"/>
      <c r="C85" s="356"/>
      <c r="D85" s="359"/>
      <c r="E85" s="360"/>
      <c r="F85" s="359"/>
    </row>
    <row r="86" spans="1:6" s="355" customFormat="1" ht="17.25" customHeight="1">
      <c r="A86" s="349" t="s">
        <v>2522</v>
      </c>
      <c r="B86" s="722" t="s">
        <v>2523</v>
      </c>
      <c r="C86" s="722"/>
      <c r="D86" s="722"/>
      <c r="E86" s="722"/>
      <c r="F86" s="722"/>
    </row>
    <row r="87" spans="1:6">
      <c r="A87" s="349"/>
      <c r="B87" s="350"/>
      <c r="C87" s="350"/>
      <c r="D87" s="350"/>
      <c r="E87" s="350"/>
      <c r="F87" s="350"/>
    </row>
    <row r="88" spans="1:6" s="355" customFormat="1" ht="42.75" customHeight="1">
      <c r="A88" s="349" t="s">
        <v>2524</v>
      </c>
      <c r="B88" s="722" t="s">
        <v>2525</v>
      </c>
      <c r="C88" s="722"/>
      <c r="D88" s="722"/>
      <c r="E88" s="722"/>
      <c r="F88" s="722"/>
    </row>
    <row r="89" spans="1:6" s="355" customFormat="1" ht="12.75">
      <c r="A89" s="349"/>
      <c r="B89" s="357"/>
      <c r="C89" s="356"/>
      <c r="D89" s="359"/>
      <c r="E89" s="360"/>
      <c r="F89" s="359"/>
    </row>
    <row r="90" spans="1:6" s="355" customFormat="1" ht="17.25" customHeight="1">
      <c r="A90" s="349" t="s">
        <v>2526</v>
      </c>
      <c r="B90" s="722" t="s">
        <v>2527</v>
      </c>
      <c r="C90" s="722"/>
      <c r="D90" s="722"/>
      <c r="E90" s="722"/>
      <c r="F90" s="722"/>
    </row>
    <row r="91" spans="1:6" s="355" customFormat="1" ht="12.75">
      <c r="A91" s="349"/>
      <c r="B91" s="357"/>
      <c r="C91" s="356"/>
      <c r="D91" s="359"/>
      <c r="E91" s="360"/>
      <c r="F91" s="359"/>
    </row>
    <row r="92" spans="1:6" s="355" customFormat="1" ht="17.25" customHeight="1">
      <c r="A92" s="349" t="s">
        <v>2528</v>
      </c>
      <c r="B92" s="722" t="s">
        <v>2529</v>
      </c>
      <c r="C92" s="722"/>
      <c r="D92" s="722"/>
      <c r="E92" s="722"/>
      <c r="F92" s="722"/>
    </row>
    <row r="93" spans="1:6" s="355" customFormat="1" ht="12.75">
      <c r="A93" s="349"/>
      <c r="B93" s="357"/>
      <c r="C93" s="356"/>
      <c r="D93" s="359"/>
      <c r="E93" s="360"/>
      <c r="F93" s="359"/>
    </row>
    <row r="94" spans="1:6" s="355" customFormat="1" ht="27.75" customHeight="1">
      <c r="A94" s="349" t="s">
        <v>2530</v>
      </c>
      <c r="B94" s="722" t="s">
        <v>2531</v>
      </c>
      <c r="C94" s="722"/>
      <c r="D94" s="722"/>
      <c r="E94" s="722"/>
      <c r="F94" s="722"/>
    </row>
    <row r="95" spans="1:6" s="355" customFormat="1" ht="12.75">
      <c r="A95" s="349"/>
      <c r="B95" s="357"/>
      <c r="C95" s="356"/>
      <c r="D95" s="359"/>
      <c r="E95" s="360"/>
      <c r="F95" s="359"/>
    </row>
    <row r="96" spans="1:6" s="355" customFormat="1" ht="17.25" customHeight="1">
      <c r="A96" s="349" t="s">
        <v>2532</v>
      </c>
      <c r="B96" s="722" t="s">
        <v>2533</v>
      </c>
      <c r="C96" s="722"/>
      <c r="D96" s="722"/>
      <c r="E96" s="722"/>
      <c r="F96" s="722"/>
    </row>
    <row r="97" spans="1:6" s="355" customFormat="1" ht="12.75">
      <c r="A97" s="349"/>
      <c r="B97" s="357"/>
      <c r="C97" s="356"/>
      <c r="D97" s="359"/>
      <c r="E97" s="360"/>
      <c r="F97" s="359"/>
    </row>
    <row r="98" spans="1:6" s="355" customFormat="1" ht="17.25" customHeight="1">
      <c r="A98" s="349" t="s">
        <v>2534</v>
      </c>
      <c r="B98" s="722" t="s">
        <v>2535</v>
      </c>
      <c r="C98" s="722"/>
      <c r="D98" s="722"/>
      <c r="E98" s="722"/>
      <c r="F98" s="722"/>
    </row>
    <row r="99" spans="1:6" s="355" customFormat="1" ht="12.75">
      <c r="A99" s="349"/>
      <c r="B99" s="357"/>
      <c r="C99" s="356"/>
      <c r="D99" s="359"/>
      <c r="E99" s="360"/>
      <c r="F99" s="359"/>
    </row>
    <row r="100" spans="1:6" s="355" customFormat="1" ht="42" customHeight="1">
      <c r="A100" s="349" t="s">
        <v>2536</v>
      </c>
      <c r="B100" s="722" t="s">
        <v>2537</v>
      </c>
      <c r="C100" s="722"/>
      <c r="D100" s="722"/>
      <c r="E100" s="722"/>
      <c r="F100" s="722"/>
    </row>
    <row r="101" spans="1:6" s="355" customFormat="1" ht="12.75">
      <c r="A101" s="349"/>
      <c r="B101" s="357"/>
      <c r="C101" s="356"/>
      <c r="D101" s="359"/>
      <c r="E101" s="360"/>
      <c r="F101" s="359"/>
    </row>
    <row r="102" spans="1:6" s="355" customFormat="1" ht="17.25" customHeight="1">
      <c r="A102" s="349" t="s">
        <v>2538</v>
      </c>
      <c r="B102" s="722" t="s">
        <v>2539</v>
      </c>
      <c r="C102" s="722"/>
      <c r="D102" s="722"/>
      <c r="E102" s="722"/>
      <c r="F102" s="722"/>
    </row>
    <row r="103" spans="1:6" s="355" customFormat="1" ht="12.75">
      <c r="A103" s="349"/>
      <c r="B103" s="357"/>
      <c r="C103" s="356"/>
      <c r="D103" s="359"/>
      <c r="E103" s="360"/>
      <c r="F103" s="359"/>
    </row>
    <row r="104" spans="1:6" s="355" customFormat="1" ht="17.25" customHeight="1">
      <c r="A104" s="349" t="s">
        <v>2540</v>
      </c>
      <c r="B104" s="722" t="s">
        <v>2541</v>
      </c>
      <c r="C104" s="722"/>
      <c r="D104" s="722"/>
      <c r="E104" s="722"/>
      <c r="F104" s="722"/>
    </row>
    <row r="105" spans="1:6" s="355" customFormat="1" ht="12.75">
      <c r="A105" s="349"/>
      <c r="B105" s="357"/>
      <c r="C105" s="356"/>
      <c r="D105" s="359"/>
      <c r="E105" s="360"/>
      <c r="F105" s="359"/>
    </row>
    <row r="106" spans="1:6" s="355" customFormat="1" ht="17.25" customHeight="1">
      <c r="A106" s="349" t="s">
        <v>2542</v>
      </c>
      <c r="B106" s="722" t="s">
        <v>2511</v>
      </c>
      <c r="C106" s="722"/>
      <c r="D106" s="722"/>
      <c r="E106" s="722"/>
      <c r="F106" s="722"/>
    </row>
    <row r="107" spans="1:6" s="355" customFormat="1" ht="12.75">
      <c r="A107" s="349"/>
      <c r="B107" s="357"/>
      <c r="C107" s="356"/>
      <c r="D107" s="359"/>
      <c r="E107" s="360"/>
      <c r="F107" s="359"/>
    </row>
    <row r="108" spans="1:6" s="355" customFormat="1" ht="17.25" customHeight="1">
      <c r="A108" s="349" t="s">
        <v>2543</v>
      </c>
      <c r="B108" s="722" t="s">
        <v>2544</v>
      </c>
      <c r="C108" s="722"/>
      <c r="D108" s="722"/>
      <c r="E108" s="722"/>
      <c r="F108" s="722"/>
    </row>
    <row r="109" spans="1:6" s="355" customFormat="1" ht="12.75">
      <c r="A109" s="349"/>
      <c r="B109" s="357"/>
      <c r="C109" s="356"/>
      <c r="D109" s="359"/>
      <c r="E109" s="360"/>
      <c r="F109" s="359"/>
    </row>
    <row r="110" spans="1:6" s="355" customFormat="1" ht="30" customHeight="1">
      <c r="A110" s="349" t="s">
        <v>2545</v>
      </c>
      <c r="B110" s="722" t="s">
        <v>2546</v>
      </c>
      <c r="C110" s="722"/>
      <c r="D110" s="722"/>
      <c r="E110" s="722"/>
      <c r="F110" s="722"/>
    </row>
    <row r="111" spans="1:6" s="355" customFormat="1" ht="12.75">
      <c r="A111" s="349"/>
      <c r="B111" s="357"/>
      <c r="C111" s="356"/>
      <c r="D111" s="359"/>
      <c r="E111" s="360"/>
      <c r="F111" s="359"/>
    </row>
    <row r="112" spans="1:6" s="355" customFormat="1" ht="16.5" customHeight="1">
      <c r="A112" s="349" t="s">
        <v>2547</v>
      </c>
      <c r="B112" s="722" t="s">
        <v>2548</v>
      </c>
      <c r="C112" s="722"/>
      <c r="D112" s="722"/>
      <c r="E112" s="722"/>
      <c r="F112" s="722"/>
    </row>
    <row r="113" spans="1:6" s="355" customFormat="1" ht="12.75">
      <c r="A113" s="349"/>
      <c r="B113" s="357"/>
      <c r="C113" s="356"/>
      <c r="D113" s="359"/>
      <c r="E113" s="360"/>
      <c r="F113" s="359"/>
    </row>
    <row r="114" spans="1:6" s="355" customFormat="1" ht="17.25" customHeight="1">
      <c r="A114" s="349" t="s">
        <v>2549</v>
      </c>
      <c r="B114" s="722" t="s">
        <v>2550</v>
      </c>
      <c r="C114" s="722"/>
      <c r="D114" s="722"/>
      <c r="E114" s="722"/>
      <c r="F114" s="722"/>
    </row>
    <row r="115" spans="1:6" s="355" customFormat="1" ht="12.75">
      <c r="A115" s="349"/>
      <c r="B115" s="357"/>
      <c r="C115" s="356"/>
      <c r="D115" s="359"/>
      <c r="E115" s="360"/>
      <c r="F115" s="359"/>
    </row>
    <row r="116" spans="1:6" s="355" customFormat="1" ht="28.5" customHeight="1">
      <c r="A116" s="349" t="s">
        <v>2551</v>
      </c>
      <c r="B116" s="722" t="s">
        <v>2552</v>
      </c>
      <c r="C116" s="722"/>
      <c r="D116" s="722"/>
      <c r="E116" s="722"/>
      <c r="F116" s="722"/>
    </row>
    <row r="117" spans="1:6" s="355" customFormat="1" ht="12.75">
      <c r="A117" s="349"/>
      <c r="B117" s="357"/>
      <c r="C117" s="356"/>
      <c r="D117" s="359"/>
      <c r="E117" s="360"/>
      <c r="F117" s="359"/>
    </row>
    <row r="118" spans="1:6" s="355" customFormat="1" ht="27.75" customHeight="1">
      <c r="A118" s="349" t="s">
        <v>2553</v>
      </c>
      <c r="B118" s="722" t="s">
        <v>2554</v>
      </c>
      <c r="C118" s="722"/>
      <c r="D118" s="722"/>
      <c r="E118" s="722"/>
      <c r="F118" s="722"/>
    </row>
    <row r="119" spans="1:6" s="355" customFormat="1" ht="12.75">
      <c r="A119" s="349"/>
      <c r="B119" s="357"/>
      <c r="C119" s="356"/>
      <c r="D119" s="359"/>
      <c r="E119" s="360"/>
      <c r="F119" s="359"/>
    </row>
    <row r="120" spans="1:6" s="355" customFormat="1" ht="17.25" customHeight="1">
      <c r="A120" s="349" t="s">
        <v>2555</v>
      </c>
      <c r="B120" s="722" t="s">
        <v>2556</v>
      </c>
      <c r="C120" s="722"/>
      <c r="D120" s="722"/>
      <c r="E120" s="722"/>
      <c r="F120" s="722"/>
    </row>
    <row r="121" spans="1:6" s="355" customFormat="1" ht="12.75">
      <c r="A121" s="349"/>
      <c r="B121" s="357"/>
      <c r="C121" s="356"/>
      <c r="D121" s="359"/>
      <c r="E121" s="360"/>
      <c r="F121" s="359"/>
    </row>
    <row r="122" spans="1:6" s="355" customFormat="1" ht="27" customHeight="1">
      <c r="A122" s="349" t="s">
        <v>2557</v>
      </c>
      <c r="B122" s="722" t="s">
        <v>2558</v>
      </c>
      <c r="C122" s="722"/>
      <c r="D122" s="722"/>
      <c r="E122" s="722"/>
      <c r="F122" s="722"/>
    </row>
    <row r="123" spans="1:6" s="355" customFormat="1" ht="12.75">
      <c r="A123" s="349"/>
      <c r="B123" s="357"/>
      <c r="C123" s="356"/>
      <c r="D123" s="359"/>
      <c r="E123" s="360"/>
      <c r="F123" s="359"/>
    </row>
    <row r="124" spans="1:6" s="355" customFormat="1" ht="17.25" customHeight="1">
      <c r="A124" s="349" t="s">
        <v>2559</v>
      </c>
      <c r="B124" s="722" t="s">
        <v>2560</v>
      </c>
      <c r="C124" s="722"/>
      <c r="D124" s="722"/>
      <c r="E124" s="722"/>
      <c r="F124" s="722"/>
    </row>
    <row r="125" spans="1:6" s="355" customFormat="1" ht="12.75">
      <c r="A125" s="349"/>
      <c r="B125" s="357"/>
      <c r="C125" s="356"/>
      <c r="D125" s="359"/>
      <c r="E125" s="360"/>
      <c r="F125" s="359"/>
    </row>
    <row r="126" spans="1:6" s="355" customFormat="1" ht="27.75" customHeight="1">
      <c r="A126" s="349" t="s">
        <v>2561</v>
      </c>
      <c r="B126" s="722" t="s">
        <v>2562</v>
      </c>
      <c r="C126" s="722"/>
      <c r="D126" s="722"/>
      <c r="E126" s="722"/>
      <c r="F126" s="722"/>
    </row>
    <row r="127" spans="1:6" s="355" customFormat="1" ht="12.75">
      <c r="A127" s="349"/>
      <c r="B127" s="357"/>
      <c r="C127" s="356"/>
      <c r="D127" s="359"/>
      <c r="E127" s="360"/>
      <c r="F127" s="359"/>
    </row>
    <row r="128" spans="1:6" s="355" customFormat="1" ht="29.25" customHeight="1">
      <c r="A128" s="349" t="s">
        <v>2563</v>
      </c>
      <c r="B128" s="722" t="s">
        <v>2564</v>
      </c>
      <c r="C128" s="722"/>
      <c r="D128" s="722"/>
      <c r="E128" s="722"/>
      <c r="F128" s="722"/>
    </row>
    <row r="129" spans="1:6" s="355" customFormat="1" ht="12.75">
      <c r="A129" s="349"/>
      <c r="B129" s="357"/>
      <c r="C129" s="356"/>
      <c r="D129" s="359"/>
      <c r="E129" s="360"/>
      <c r="F129" s="359"/>
    </row>
    <row r="130" spans="1:6" s="355" customFormat="1" ht="29.25" customHeight="1">
      <c r="A130" s="349" t="s">
        <v>2565</v>
      </c>
      <c r="B130" s="722" t="s">
        <v>1742</v>
      </c>
      <c r="C130" s="722"/>
      <c r="D130" s="722"/>
      <c r="E130" s="722"/>
      <c r="F130" s="722"/>
    </row>
    <row r="131" spans="1:6" s="355" customFormat="1" ht="12.75">
      <c r="A131" s="349"/>
      <c r="B131" s="350"/>
      <c r="C131" s="350"/>
      <c r="D131" s="361"/>
      <c r="E131" s="362"/>
      <c r="F131" s="362"/>
    </row>
    <row r="132" spans="1:6" s="355" customFormat="1" ht="12.75">
      <c r="A132" s="349"/>
      <c r="B132" s="363" t="s">
        <v>2566</v>
      </c>
      <c r="C132" s="350"/>
      <c r="D132" s="361"/>
      <c r="E132" s="350"/>
      <c r="F132" s="361"/>
    </row>
    <row r="133" spans="1:6" s="355" customFormat="1" ht="15.75" customHeight="1">
      <c r="A133" s="349"/>
      <c r="B133" s="722" t="s">
        <v>2567</v>
      </c>
      <c r="C133" s="722"/>
      <c r="D133" s="722"/>
      <c r="E133" s="722"/>
      <c r="F133" s="722"/>
    </row>
    <row r="134" spans="1:6" s="355" customFormat="1" ht="25.5" customHeight="1">
      <c r="A134" s="349"/>
      <c r="B134" s="722" t="s">
        <v>2568</v>
      </c>
      <c r="C134" s="722"/>
      <c r="D134" s="722"/>
      <c r="E134" s="722"/>
      <c r="F134" s="722"/>
    </row>
    <row r="135" spans="1:6" s="355" customFormat="1" ht="12.75">
      <c r="A135" s="349"/>
      <c r="B135" s="350"/>
      <c r="C135" s="350"/>
      <c r="D135" s="361"/>
      <c r="E135" s="362"/>
      <c r="F135" s="362"/>
    </row>
    <row r="136" spans="1:6" s="355" customFormat="1" ht="12.75" customHeight="1">
      <c r="A136" s="349" t="s">
        <v>2569</v>
      </c>
      <c r="B136" s="722" t="s">
        <v>1763</v>
      </c>
      <c r="C136" s="722"/>
      <c r="D136" s="722"/>
      <c r="E136" s="722"/>
      <c r="F136" s="722"/>
    </row>
    <row r="137" spans="1:6" s="355" customFormat="1" ht="12.75">
      <c r="A137" s="349"/>
      <c r="B137" s="351"/>
      <c r="C137" s="350"/>
      <c r="D137" s="361"/>
      <c r="E137" s="350"/>
      <c r="F137" s="361"/>
    </row>
    <row r="138" spans="1:6" s="355" customFormat="1" ht="26.25" customHeight="1">
      <c r="A138" s="349" t="s">
        <v>2570</v>
      </c>
      <c r="B138" s="722" t="s">
        <v>1764</v>
      </c>
      <c r="C138" s="722"/>
      <c r="D138" s="722"/>
      <c r="E138" s="722"/>
      <c r="F138" s="722"/>
    </row>
    <row r="139" spans="1:6" s="355" customFormat="1" ht="12.75">
      <c r="A139" s="349"/>
      <c r="B139" s="725" t="s">
        <v>1765</v>
      </c>
      <c r="C139" s="725"/>
      <c r="D139" s="725"/>
      <c r="E139" s="725"/>
      <c r="F139" s="725"/>
    </row>
    <row r="140" spans="1:6" s="355" customFormat="1" ht="12.75">
      <c r="A140" s="349"/>
      <c r="B140" s="357"/>
      <c r="C140" s="356"/>
      <c r="D140" s="359"/>
      <c r="E140" s="360"/>
      <c r="F140" s="359"/>
    </row>
    <row r="141" spans="1:6" s="355" customFormat="1" ht="30" customHeight="1">
      <c r="A141" s="349" t="s">
        <v>2571</v>
      </c>
      <c r="B141" s="722" t="s">
        <v>2572</v>
      </c>
      <c r="C141" s="722"/>
      <c r="D141" s="722"/>
      <c r="E141" s="722"/>
      <c r="F141" s="722"/>
    </row>
    <row r="142" spans="1:6" s="355" customFormat="1" ht="12.75">
      <c r="A142" s="349"/>
      <c r="B142" s="357"/>
      <c r="C142" s="356"/>
      <c r="D142" s="359"/>
      <c r="E142" s="360"/>
      <c r="F142" s="359"/>
    </row>
    <row r="143" spans="1:6" s="355" customFormat="1" ht="27.75" customHeight="1">
      <c r="A143" s="349" t="s">
        <v>2573</v>
      </c>
      <c r="B143" s="722" t="s">
        <v>2574</v>
      </c>
      <c r="C143" s="722"/>
      <c r="D143" s="722"/>
      <c r="E143" s="722"/>
      <c r="F143" s="722"/>
    </row>
    <row r="144" spans="1:6" s="355" customFormat="1" ht="12.75">
      <c r="A144" s="349"/>
      <c r="B144" s="357"/>
      <c r="C144" s="356"/>
      <c r="D144" s="359"/>
      <c r="E144" s="360"/>
      <c r="F144" s="359"/>
    </row>
    <row r="145" spans="1:6" s="355" customFormat="1" ht="27.75" customHeight="1">
      <c r="A145" s="349" t="s">
        <v>2575</v>
      </c>
      <c r="B145" s="722" t="s">
        <v>2576</v>
      </c>
      <c r="C145" s="722"/>
      <c r="D145" s="722"/>
      <c r="E145" s="722"/>
      <c r="F145" s="722"/>
    </row>
    <row r="146" spans="1:6" s="355" customFormat="1" ht="12.75">
      <c r="A146" s="349"/>
      <c r="B146" s="357"/>
      <c r="C146" s="356"/>
      <c r="D146" s="359"/>
      <c r="E146" s="360"/>
      <c r="F146" s="359"/>
    </row>
    <row r="147" spans="1:6" s="355" customFormat="1" ht="15.75" customHeight="1">
      <c r="A147" s="349" t="s">
        <v>2577</v>
      </c>
      <c r="B147" s="722" t="s">
        <v>2578</v>
      </c>
      <c r="C147" s="722"/>
      <c r="D147" s="722"/>
      <c r="E147" s="722"/>
      <c r="F147" s="722"/>
    </row>
    <row r="148" spans="1:6" s="355" customFormat="1" ht="12.75">
      <c r="A148" s="349"/>
      <c r="B148" s="357"/>
      <c r="C148" s="356"/>
      <c r="D148" s="359"/>
      <c r="E148" s="360"/>
      <c r="F148" s="359"/>
    </row>
    <row r="149" spans="1:6" s="355" customFormat="1" ht="16.5" customHeight="1">
      <c r="A149" s="349" t="s">
        <v>2579</v>
      </c>
      <c r="B149" s="722" t="s">
        <v>2580</v>
      </c>
      <c r="C149" s="722"/>
      <c r="D149" s="722"/>
      <c r="E149" s="722"/>
      <c r="F149" s="722"/>
    </row>
    <row r="150" spans="1:6" s="355" customFormat="1" ht="12.75">
      <c r="A150" s="349"/>
      <c r="B150" s="357"/>
      <c r="C150" s="356"/>
      <c r="D150" s="359"/>
      <c r="E150" s="360"/>
      <c r="F150" s="359"/>
    </row>
    <row r="151" spans="1:6" s="355" customFormat="1" ht="27.75" customHeight="1">
      <c r="A151" s="349" t="s">
        <v>2581</v>
      </c>
      <c r="B151" s="722" t="s">
        <v>2582</v>
      </c>
      <c r="C151" s="722"/>
      <c r="D151" s="722"/>
      <c r="E151" s="722"/>
      <c r="F151" s="722"/>
    </row>
    <row r="152" spans="1:6" s="355" customFormat="1" ht="12.75">
      <c r="A152" s="349"/>
      <c r="B152" s="357"/>
      <c r="C152" s="356"/>
      <c r="D152" s="359"/>
      <c r="E152" s="360"/>
      <c r="F152" s="359"/>
    </row>
    <row r="153" spans="1:6" s="355" customFormat="1" ht="12.75">
      <c r="A153" s="349" t="s">
        <v>2583</v>
      </c>
      <c r="B153" s="725" t="s">
        <v>1766</v>
      </c>
      <c r="C153" s="725"/>
      <c r="D153" s="725"/>
      <c r="E153" s="725"/>
      <c r="F153" s="725"/>
    </row>
    <row r="154" spans="1:6" s="355" customFormat="1" ht="29.25" customHeight="1">
      <c r="A154" s="349"/>
      <c r="B154" s="722" t="s">
        <v>1767</v>
      </c>
      <c r="C154" s="722"/>
      <c r="D154" s="722"/>
      <c r="E154" s="722"/>
      <c r="F154" s="722"/>
    </row>
    <row r="155" spans="1:6" s="355" customFormat="1" ht="27" customHeight="1">
      <c r="A155" s="349"/>
      <c r="B155" s="722" t="s">
        <v>1768</v>
      </c>
      <c r="C155" s="722"/>
      <c r="D155" s="722"/>
      <c r="E155" s="722"/>
      <c r="F155" s="722"/>
    </row>
    <row r="156" spans="1:6" s="355" customFormat="1" ht="12.75">
      <c r="A156" s="349"/>
      <c r="B156" s="357"/>
      <c r="C156" s="356"/>
      <c r="D156" s="359"/>
      <c r="E156" s="360"/>
      <c r="F156" s="359"/>
    </row>
    <row r="157" spans="1:6" s="355" customFormat="1" ht="12.75">
      <c r="A157" s="349"/>
      <c r="B157" s="357"/>
      <c r="C157" s="356"/>
      <c r="D157" s="359"/>
      <c r="E157" s="360"/>
      <c r="F157" s="359"/>
    </row>
    <row r="158" spans="1:6" s="355" customFormat="1" ht="12.75">
      <c r="A158" s="364"/>
      <c r="B158" s="365" t="s">
        <v>1791</v>
      </c>
      <c r="C158" s="558"/>
      <c r="D158" s="559"/>
      <c r="E158" s="560"/>
      <c r="F158" s="561"/>
    </row>
    <row r="159" spans="1:6" s="355" customFormat="1" ht="12.75" customHeight="1">
      <c r="A159" s="364"/>
      <c r="B159" s="727" t="s">
        <v>2584</v>
      </c>
      <c r="C159" s="727"/>
      <c r="D159" s="727"/>
      <c r="E159" s="727"/>
      <c r="F159" s="727"/>
    </row>
    <row r="160" spans="1:6" s="355" customFormat="1" ht="45.75" customHeight="1">
      <c r="A160" s="364"/>
      <c r="B160" s="728" t="s">
        <v>1793</v>
      </c>
      <c r="C160" s="728"/>
      <c r="D160" s="728"/>
      <c r="E160" s="728"/>
      <c r="F160" s="728"/>
    </row>
    <row r="161" spans="1:6" s="355" customFormat="1" ht="14.25" customHeight="1">
      <c r="A161" s="364"/>
      <c r="B161" s="729" t="s">
        <v>1794</v>
      </c>
      <c r="C161" s="729"/>
      <c r="D161" s="729"/>
      <c r="E161" s="729"/>
      <c r="F161" s="729"/>
    </row>
    <row r="162" spans="1:6" s="355" customFormat="1" ht="27.75" customHeight="1">
      <c r="A162" s="364"/>
      <c r="B162" s="730" t="s">
        <v>2585</v>
      </c>
      <c r="C162" s="730"/>
      <c r="D162" s="730"/>
      <c r="E162" s="730"/>
      <c r="F162" s="730"/>
    </row>
    <row r="163" spans="1:6" s="355" customFormat="1" ht="12.75">
      <c r="A163" s="364"/>
      <c r="B163" s="366"/>
      <c r="C163" s="367"/>
      <c r="D163" s="368"/>
      <c r="E163" s="369"/>
      <c r="F163" s="370"/>
    </row>
    <row r="164" spans="1:6" s="355" customFormat="1" ht="40.5" customHeight="1">
      <c r="A164" s="364"/>
      <c r="B164" s="726" t="s">
        <v>2586</v>
      </c>
      <c r="C164" s="726"/>
      <c r="D164" s="726"/>
      <c r="E164" s="726"/>
      <c r="F164" s="726"/>
    </row>
    <row r="165" spans="1:6">
      <c r="D165" s="104"/>
      <c r="E165" s="223"/>
      <c r="F165" s="222"/>
    </row>
    <row r="166" spans="1:6" s="257" customFormat="1" ht="140.25">
      <c r="A166" s="371"/>
      <c r="B166" s="372" t="s">
        <v>2587</v>
      </c>
      <c r="C166" s="373"/>
      <c r="D166" s="374"/>
      <c r="E166" s="375"/>
      <c r="F166" s="375"/>
    </row>
    <row r="167" spans="1:6">
      <c r="D167" s="104"/>
      <c r="E167" s="223"/>
      <c r="F167" s="222"/>
    </row>
    <row r="168" spans="1:6">
      <c r="D168" s="104"/>
      <c r="E168" s="223"/>
      <c r="F168" s="222"/>
    </row>
    <row r="169" spans="1:6">
      <c r="D169" s="104"/>
      <c r="E169" s="223"/>
      <c r="F169" s="222"/>
    </row>
    <row r="170" spans="1:6" s="257" customFormat="1" ht="12.75">
      <c r="A170" s="371"/>
      <c r="B170" s="376" t="s">
        <v>2588</v>
      </c>
      <c r="C170" s="373"/>
      <c r="D170" s="374"/>
      <c r="E170" s="375"/>
      <c r="F170" s="375"/>
    </row>
    <row r="171" spans="1:6" s="257" customFormat="1" ht="267.75">
      <c r="A171" s="377" t="s">
        <v>2127</v>
      </c>
      <c r="B171" s="378" t="s">
        <v>2589</v>
      </c>
      <c r="C171" s="379"/>
      <c r="D171" s="380"/>
      <c r="E171" s="375"/>
      <c r="F171" s="375"/>
    </row>
    <row r="172" spans="1:6" s="257" customFormat="1" ht="255">
      <c r="A172" s="377"/>
      <c r="B172" s="381" t="s">
        <v>2590</v>
      </c>
      <c r="C172" s="379"/>
      <c r="D172" s="380"/>
      <c r="E172" s="375"/>
      <c r="F172" s="375"/>
    </row>
    <row r="173" spans="1:6" s="257" customFormat="1" ht="12.75">
      <c r="A173" s="377"/>
      <c r="B173" s="382"/>
      <c r="C173" s="379" t="s">
        <v>18</v>
      </c>
      <c r="D173" s="380">
        <v>1</v>
      </c>
      <c r="E173" s="375"/>
      <c r="F173" s="375"/>
    </row>
    <row r="174" spans="1:6" s="257" customFormat="1" ht="12.75">
      <c r="A174" s="377"/>
      <c r="B174" s="382"/>
      <c r="C174" s="379"/>
      <c r="D174" s="380"/>
      <c r="E174" s="375"/>
      <c r="F174" s="375"/>
    </row>
    <row r="175" spans="1:6" s="257" customFormat="1" ht="208.5" customHeight="1">
      <c r="A175" s="377" t="s">
        <v>2591</v>
      </c>
      <c r="B175" s="383" t="s">
        <v>2592</v>
      </c>
      <c r="C175" s="379"/>
      <c r="D175" s="380"/>
      <c r="E175" s="375"/>
      <c r="F175" s="375"/>
    </row>
    <row r="176" spans="1:6" s="257" customFormat="1" ht="12.75">
      <c r="A176" s="377"/>
      <c r="B176" s="384"/>
      <c r="C176" s="379" t="s">
        <v>18</v>
      </c>
      <c r="D176" s="380">
        <v>1</v>
      </c>
      <c r="E176" s="375"/>
      <c r="F176" s="375"/>
    </row>
    <row r="177" spans="1:6" s="257" customFormat="1" ht="12.75">
      <c r="A177" s="377"/>
      <c r="B177" s="384"/>
      <c r="C177" s="379"/>
      <c r="D177" s="380"/>
      <c r="E177" s="375"/>
      <c r="F177" s="375"/>
    </row>
    <row r="178" spans="1:6" s="257" customFormat="1" ht="54" customHeight="1">
      <c r="A178" s="377" t="s">
        <v>2593</v>
      </c>
      <c r="B178" s="385" t="s">
        <v>2594</v>
      </c>
      <c r="C178" s="379"/>
      <c r="D178" s="380"/>
      <c r="E178" s="375"/>
      <c r="F178" s="375"/>
    </row>
    <row r="179" spans="1:6" s="257" customFormat="1" ht="12.75">
      <c r="A179" s="377"/>
      <c r="B179" s="385"/>
      <c r="C179" s="379" t="s">
        <v>18</v>
      </c>
      <c r="D179" s="380">
        <v>2</v>
      </c>
      <c r="E179" s="375"/>
      <c r="F179" s="375"/>
    </row>
    <row r="180" spans="1:6" s="257" customFormat="1" ht="12.75">
      <c r="A180" s="377"/>
      <c r="B180" s="385"/>
      <c r="C180" s="379"/>
      <c r="D180" s="380"/>
      <c r="E180" s="375"/>
      <c r="F180" s="375"/>
    </row>
    <row r="181" spans="1:6" s="257" customFormat="1" ht="165" customHeight="1">
      <c r="A181" s="377" t="s">
        <v>2595</v>
      </c>
      <c r="B181" s="386" t="s">
        <v>2596</v>
      </c>
      <c r="C181" s="379"/>
      <c r="D181" s="380"/>
      <c r="E181" s="387"/>
      <c r="F181" s="375"/>
    </row>
    <row r="182" spans="1:6" s="257" customFormat="1" ht="12.75">
      <c r="A182" s="377"/>
      <c r="B182" s="382"/>
      <c r="C182" s="379" t="s">
        <v>18</v>
      </c>
      <c r="D182" s="380">
        <v>1</v>
      </c>
      <c r="E182" s="387"/>
      <c r="F182" s="375"/>
    </row>
    <row r="183" spans="1:6" s="257" customFormat="1" ht="12.75">
      <c r="A183" s="377"/>
      <c r="B183" s="379"/>
      <c r="C183" s="379"/>
      <c r="D183" s="380"/>
      <c r="E183" s="387"/>
      <c r="F183" s="375"/>
    </row>
    <row r="184" spans="1:6" s="12" customFormat="1" ht="120.75" customHeight="1">
      <c r="A184" s="388" t="s">
        <v>284</v>
      </c>
      <c r="B184" s="389" t="s">
        <v>2597</v>
      </c>
      <c r="C184" s="390"/>
      <c r="D184" s="391"/>
      <c r="E184" s="392"/>
      <c r="F184" s="393"/>
    </row>
    <row r="185" spans="1:6" s="12" customFormat="1">
      <c r="A185" s="388"/>
      <c r="B185" s="394"/>
      <c r="C185" s="390" t="s">
        <v>18</v>
      </c>
      <c r="D185" s="391">
        <v>1</v>
      </c>
      <c r="E185" s="392"/>
      <c r="F185" s="393"/>
    </row>
    <row r="186" spans="1:6" s="12" customFormat="1">
      <c r="A186" s="388"/>
      <c r="B186" s="390"/>
      <c r="C186" s="390"/>
      <c r="D186" s="391"/>
      <c r="E186" s="392"/>
      <c r="F186" s="393"/>
    </row>
    <row r="187" spans="1:6" s="12" customFormat="1" ht="216.75">
      <c r="A187" s="388" t="s">
        <v>296</v>
      </c>
      <c r="B187" s="389" t="s">
        <v>2598</v>
      </c>
      <c r="C187" s="390"/>
      <c r="D187" s="391"/>
      <c r="E187" s="392"/>
      <c r="F187" s="393"/>
    </row>
    <row r="188" spans="1:6" s="12" customFormat="1">
      <c r="A188" s="388"/>
      <c r="B188" s="394"/>
      <c r="C188" s="390" t="s">
        <v>18</v>
      </c>
      <c r="D188" s="391">
        <v>102</v>
      </c>
      <c r="E188" s="392"/>
      <c r="F188" s="393"/>
    </row>
    <row r="189" spans="1:6" s="12" customFormat="1">
      <c r="A189" s="388"/>
      <c r="B189" s="390"/>
      <c r="C189" s="390"/>
      <c r="D189" s="391"/>
      <c r="E189" s="392"/>
      <c r="F189" s="393"/>
    </row>
    <row r="190" spans="1:6" s="12" customFormat="1" ht="204">
      <c r="A190" s="388" t="s">
        <v>297</v>
      </c>
      <c r="B190" s="389" t="s">
        <v>2599</v>
      </c>
      <c r="C190" s="390"/>
      <c r="D190" s="391"/>
      <c r="E190" s="392"/>
      <c r="F190" s="393"/>
    </row>
    <row r="191" spans="1:6" s="12" customFormat="1">
      <c r="A191" s="388"/>
      <c r="B191" s="394"/>
      <c r="C191" s="390" t="s">
        <v>18</v>
      </c>
      <c r="D191" s="391">
        <v>6</v>
      </c>
      <c r="E191" s="392"/>
      <c r="F191" s="393"/>
    </row>
    <row r="192" spans="1:6" s="12" customFormat="1">
      <c r="A192" s="388"/>
      <c r="B192" s="390"/>
      <c r="C192" s="390"/>
      <c r="D192" s="391"/>
      <c r="E192" s="392"/>
      <c r="F192" s="393"/>
    </row>
    <row r="193" spans="1:6" s="12" customFormat="1" ht="102">
      <c r="A193" s="388" t="s">
        <v>299</v>
      </c>
      <c r="B193" s="395" t="s">
        <v>2600</v>
      </c>
      <c r="C193" s="390"/>
      <c r="D193" s="391"/>
      <c r="E193" s="392"/>
      <c r="F193" s="393"/>
    </row>
    <row r="194" spans="1:6" s="12" customFormat="1">
      <c r="A194" s="388"/>
      <c r="B194" s="395"/>
      <c r="C194" s="390" t="s">
        <v>18</v>
      </c>
      <c r="D194" s="391">
        <v>106</v>
      </c>
      <c r="E194" s="392"/>
      <c r="F194" s="393"/>
    </row>
    <row r="195" spans="1:6" s="12" customFormat="1">
      <c r="A195" s="388"/>
      <c r="B195" s="390"/>
      <c r="C195" s="390"/>
      <c r="D195" s="391"/>
      <c r="E195" s="392"/>
      <c r="F195" s="393"/>
    </row>
    <row r="196" spans="1:6" s="12" customFormat="1" ht="25.5">
      <c r="A196" s="388" t="s">
        <v>663</v>
      </c>
      <c r="B196" s="395" t="s">
        <v>2601</v>
      </c>
      <c r="C196" s="390"/>
      <c r="D196" s="391"/>
      <c r="E196" s="392"/>
      <c r="F196" s="393"/>
    </row>
    <row r="197" spans="1:6" s="12" customFormat="1">
      <c r="A197" s="388"/>
      <c r="B197" s="395"/>
      <c r="C197" s="390" t="s">
        <v>18</v>
      </c>
      <c r="D197" s="391">
        <v>106</v>
      </c>
      <c r="E197" s="392"/>
      <c r="F197" s="393"/>
    </row>
    <row r="198" spans="1:6" s="12" customFormat="1">
      <c r="A198" s="388"/>
      <c r="B198" s="395"/>
      <c r="C198" s="390"/>
      <c r="D198" s="391"/>
      <c r="E198" s="392"/>
      <c r="F198" s="393"/>
    </row>
    <row r="199" spans="1:6" s="12" customFormat="1" ht="178.5">
      <c r="A199" s="388" t="s">
        <v>664</v>
      </c>
      <c r="B199" s="242" t="s">
        <v>2602</v>
      </c>
      <c r="C199" s="390"/>
      <c r="D199" s="391"/>
      <c r="E199" s="392"/>
      <c r="F199" s="393"/>
    </row>
    <row r="200" spans="1:6" s="12" customFormat="1">
      <c r="A200" s="388"/>
      <c r="B200" s="562"/>
      <c r="C200" s="390" t="s">
        <v>18</v>
      </c>
      <c r="D200" s="391">
        <v>6</v>
      </c>
      <c r="E200" s="392"/>
      <c r="F200" s="393"/>
    </row>
    <row r="201" spans="1:6" s="12" customFormat="1">
      <c r="A201" s="388"/>
      <c r="B201" s="390"/>
      <c r="C201" s="390"/>
      <c r="D201" s="391"/>
      <c r="E201" s="392"/>
      <c r="F201" s="393"/>
    </row>
    <row r="202" spans="1:6" s="12" customFormat="1" ht="178.5">
      <c r="A202" s="388" t="s">
        <v>665</v>
      </c>
      <c r="B202" s="242" t="s">
        <v>2603</v>
      </c>
      <c r="C202" s="390"/>
      <c r="D202" s="391"/>
      <c r="E202" s="392"/>
      <c r="F202" s="393"/>
    </row>
    <row r="203" spans="1:6" s="12" customFormat="1">
      <c r="A203" s="388"/>
      <c r="B203" s="562"/>
      <c r="C203" s="390" t="s">
        <v>18</v>
      </c>
      <c r="D203" s="391">
        <v>1</v>
      </c>
      <c r="E203" s="392"/>
      <c r="F203" s="393"/>
    </row>
    <row r="204" spans="1:6" s="12" customFormat="1">
      <c r="A204" s="388"/>
      <c r="B204" s="390"/>
      <c r="C204" s="390"/>
      <c r="D204" s="391"/>
      <c r="E204" s="392"/>
      <c r="F204" s="393"/>
    </row>
    <row r="205" spans="1:6" s="12" customFormat="1" ht="140.25">
      <c r="A205" s="388" t="s">
        <v>666</v>
      </c>
      <c r="B205" s="563" t="s">
        <v>2604</v>
      </c>
      <c r="C205" s="390"/>
      <c r="D205" s="391"/>
      <c r="E205" s="392"/>
      <c r="F205" s="393"/>
    </row>
    <row r="206" spans="1:6" s="12" customFormat="1">
      <c r="A206" s="388"/>
      <c r="B206" s="563"/>
      <c r="C206" s="390" t="s">
        <v>18</v>
      </c>
      <c r="D206" s="391">
        <v>5</v>
      </c>
      <c r="E206" s="392"/>
      <c r="F206" s="393"/>
    </row>
    <row r="207" spans="1:6" s="12" customFormat="1">
      <c r="A207" s="388"/>
      <c r="B207" s="563"/>
      <c r="C207" s="390"/>
      <c r="D207" s="391"/>
      <c r="E207" s="392"/>
      <c r="F207" s="393"/>
    </row>
    <row r="208" spans="1:6" s="12" customFormat="1" ht="25.5">
      <c r="A208" s="388" t="s">
        <v>667</v>
      </c>
      <c r="B208" s="563" t="s">
        <v>2605</v>
      </c>
      <c r="C208" s="390"/>
      <c r="D208" s="391"/>
      <c r="E208" s="392"/>
      <c r="F208" s="393"/>
    </row>
    <row r="209" spans="1:6" s="12" customFormat="1">
      <c r="A209" s="388"/>
      <c r="B209" s="563"/>
      <c r="C209" s="390" t="s">
        <v>18</v>
      </c>
      <c r="D209" s="391">
        <v>5</v>
      </c>
      <c r="E209" s="392"/>
      <c r="F209" s="393"/>
    </row>
    <row r="210" spans="1:6" s="12" customFormat="1">
      <c r="A210" s="388"/>
      <c r="B210" s="563"/>
      <c r="C210" s="390"/>
      <c r="D210" s="391"/>
      <c r="E210" s="392"/>
      <c r="F210" s="393"/>
    </row>
    <row r="211" spans="1:6" s="12" customFormat="1" ht="153">
      <c r="A211" s="388" t="s">
        <v>668</v>
      </c>
      <c r="B211" s="389" t="s">
        <v>2606</v>
      </c>
      <c r="C211" s="390"/>
      <c r="D211" s="391"/>
      <c r="E211" s="392"/>
      <c r="F211" s="393"/>
    </row>
    <row r="212" spans="1:6" s="12" customFormat="1">
      <c r="A212" s="388"/>
      <c r="B212" s="564"/>
      <c r="C212" s="390" t="s">
        <v>18</v>
      </c>
      <c r="D212" s="391">
        <v>12</v>
      </c>
      <c r="E212" s="392"/>
      <c r="F212" s="393"/>
    </row>
    <row r="213" spans="1:6" s="12" customFormat="1">
      <c r="A213" s="388"/>
      <c r="B213" s="390"/>
      <c r="C213" s="390"/>
      <c r="D213" s="391"/>
      <c r="E213" s="392"/>
      <c r="F213" s="393"/>
    </row>
    <row r="214" spans="1:6" s="12" customFormat="1" ht="76.5">
      <c r="A214" s="396" t="s">
        <v>669</v>
      </c>
      <c r="B214" s="389" t="s">
        <v>2607</v>
      </c>
      <c r="C214" s="390"/>
      <c r="D214" s="391"/>
      <c r="E214" s="392"/>
      <c r="F214" s="393"/>
    </row>
    <row r="215" spans="1:6" s="12" customFormat="1">
      <c r="A215" s="397"/>
      <c r="B215" s="389"/>
      <c r="C215" s="390" t="s">
        <v>18</v>
      </c>
      <c r="D215" s="391">
        <v>60</v>
      </c>
      <c r="E215" s="392"/>
      <c r="F215" s="393"/>
    </row>
    <row r="216" spans="1:6" s="12" customFormat="1">
      <c r="A216" s="397"/>
      <c r="B216" s="562"/>
      <c r="C216" s="390"/>
      <c r="D216" s="391"/>
      <c r="E216" s="392"/>
      <c r="F216" s="393"/>
    </row>
    <row r="217" spans="1:6" s="12" customFormat="1" ht="179.25" customHeight="1">
      <c r="A217" s="396" t="s">
        <v>670</v>
      </c>
      <c r="B217" s="389" t="s">
        <v>2608</v>
      </c>
      <c r="C217" s="390"/>
      <c r="D217" s="391"/>
      <c r="E217" s="392"/>
      <c r="F217" s="393"/>
    </row>
    <row r="218" spans="1:6" s="12" customFormat="1">
      <c r="A218" s="397"/>
      <c r="B218" s="389"/>
      <c r="C218" s="390" t="s">
        <v>18</v>
      </c>
      <c r="D218" s="391">
        <v>1</v>
      </c>
      <c r="E218" s="392"/>
      <c r="F218" s="393"/>
    </row>
    <row r="219" spans="1:6" s="12" customFormat="1">
      <c r="A219" s="397"/>
      <c r="B219" s="389"/>
      <c r="C219" s="390"/>
      <c r="D219" s="391"/>
      <c r="E219" s="392"/>
      <c r="F219" s="393"/>
    </row>
    <row r="220" spans="1:6" s="257" customFormat="1" ht="12.75">
      <c r="A220" s="377"/>
      <c r="B220" s="379"/>
      <c r="C220" s="379"/>
      <c r="D220" s="380"/>
      <c r="E220" s="387"/>
      <c r="F220" s="375"/>
    </row>
    <row r="221" spans="1:6" s="257" customFormat="1" ht="12.75">
      <c r="A221" s="377"/>
      <c r="B221" s="398" t="s">
        <v>2609</v>
      </c>
      <c r="C221" s="379"/>
      <c r="D221" s="380"/>
      <c r="E221" s="387"/>
      <c r="F221" s="375"/>
    </row>
    <row r="222" spans="1:6" s="257" customFormat="1" ht="12.75">
      <c r="A222" s="377"/>
      <c r="B222" s="399"/>
      <c r="C222" s="379"/>
      <c r="D222" s="380"/>
      <c r="E222" s="387"/>
      <c r="F222" s="375"/>
    </row>
    <row r="223" spans="1:6" s="257" customFormat="1" ht="65.25" customHeight="1">
      <c r="A223" s="377" t="s">
        <v>651</v>
      </c>
      <c r="B223" s="386" t="s">
        <v>2610</v>
      </c>
      <c r="C223" s="373" t="s">
        <v>280</v>
      </c>
      <c r="D223" s="374">
        <v>750</v>
      </c>
      <c r="E223" s="387"/>
      <c r="F223" s="375"/>
    </row>
    <row r="224" spans="1:6" s="257" customFormat="1" ht="12.75">
      <c r="A224" s="400"/>
      <c r="B224" s="379"/>
      <c r="C224" s="379"/>
      <c r="D224" s="380"/>
      <c r="E224" s="387"/>
      <c r="F224" s="375"/>
    </row>
    <row r="225" spans="1:6" s="257" customFormat="1" ht="48.75" customHeight="1">
      <c r="A225" s="377" t="s">
        <v>2185</v>
      </c>
      <c r="B225" s="386" t="s">
        <v>2611</v>
      </c>
      <c r="C225" s="373" t="s">
        <v>280</v>
      </c>
      <c r="D225" s="374">
        <v>100</v>
      </c>
      <c r="E225" s="387"/>
      <c r="F225" s="375"/>
    </row>
    <row r="226" spans="1:6" s="257" customFormat="1" ht="12.75">
      <c r="A226" s="400"/>
      <c r="B226" s="386"/>
      <c r="C226" s="373"/>
      <c r="D226" s="374"/>
      <c r="E226" s="375"/>
      <c r="F226" s="375"/>
    </row>
    <row r="227" spans="1:6" s="257" customFormat="1" ht="56.25" customHeight="1">
      <c r="A227" s="377" t="s">
        <v>2188</v>
      </c>
      <c r="B227" s="386" t="s">
        <v>2612</v>
      </c>
      <c r="C227" s="373" t="s">
        <v>280</v>
      </c>
      <c r="D227" s="374">
        <v>30</v>
      </c>
      <c r="E227" s="387"/>
      <c r="F227" s="375"/>
    </row>
    <row r="228" spans="1:6" s="257" customFormat="1" ht="12.75">
      <c r="A228" s="400"/>
      <c r="B228" s="386"/>
      <c r="C228" s="373"/>
      <c r="D228" s="374"/>
      <c r="E228" s="375"/>
      <c r="F228" s="375"/>
    </row>
    <row r="229" spans="1:6" s="257" customFormat="1" ht="51" customHeight="1">
      <c r="A229" s="377" t="s">
        <v>2193</v>
      </c>
      <c r="B229" s="386" t="s">
        <v>2613</v>
      </c>
      <c r="C229" s="373" t="s">
        <v>280</v>
      </c>
      <c r="D229" s="374">
        <v>100</v>
      </c>
      <c r="E229" s="387"/>
      <c r="F229" s="375"/>
    </row>
    <row r="230" spans="1:6" s="257" customFormat="1" ht="12.75">
      <c r="A230" s="400"/>
      <c r="B230" s="386"/>
      <c r="C230" s="373"/>
      <c r="D230" s="374"/>
      <c r="E230" s="375"/>
      <c r="F230" s="375"/>
    </row>
    <row r="231" spans="1:6" s="257" customFormat="1" ht="89.25">
      <c r="A231" s="377" t="s">
        <v>2197</v>
      </c>
      <c r="B231" s="386" t="s">
        <v>2614</v>
      </c>
      <c r="C231" s="373" t="s">
        <v>280</v>
      </c>
      <c r="D231" s="374">
        <v>120</v>
      </c>
      <c r="E231" s="387"/>
      <c r="F231" s="375"/>
    </row>
    <row r="232" spans="1:6" s="257" customFormat="1" ht="12.75">
      <c r="A232" s="400"/>
      <c r="B232" s="386"/>
      <c r="C232" s="373"/>
      <c r="D232" s="374"/>
      <c r="E232" s="387"/>
      <c r="F232" s="375"/>
    </row>
    <row r="233" spans="1:6" s="257" customFormat="1" ht="76.5">
      <c r="A233" s="377" t="s">
        <v>2200</v>
      </c>
      <c r="B233" s="386" t="s">
        <v>2615</v>
      </c>
      <c r="C233" s="373" t="s">
        <v>280</v>
      </c>
      <c r="D233" s="374">
        <v>750</v>
      </c>
      <c r="E233" s="387"/>
      <c r="F233" s="375"/>
    </row>
    <row r="234" spans="1:6" s="257" customFormat="1" ht="12.75">
      <c r="A234" s="400"/>
      <c r="B234" s="386"/>
      <c r="C234" s="373"/>
      <c r="D234" s="374"/>
      <c r="E234" s="387"/>
      <c r="F234" s="375"/>
    </row>
    <row r="235" spans="1:6" s="257" customFormat="1" ht="51">
      <c r="A235" s="377" t="s">
        <v>2203</v>
      </c>
      <c r="B235" s="386" t="s">
        <v>2616</v>
      </c>
      <c r="C235" s="373" t="s">
        <v>280</v>
      </c>
      <c r="D235" s="374">
        <v>120</v>
      </c>
      <c r="E235" s="387"/>
      <c r="F235" s="375"/>
    </row>
    <row r="236" spans="1:6" s="257" customFormat="1" ht="12.75">
      <c r="A236" s="377"/>
      <c r="B236" s="386"/>
      <c r="C236" s="373"/>
      <c r="D236" s="374"/>
      <c r="E236" s="387"/>
      <c r="F236" s="375"/>
    </row>
    <row r="237" spans="1:6" s="257" customFormat="1" ht="54" customHeight="1">
      <c r="A237" s="377" t="s">
        <v>2617</v>
      </c>
      <c r="B237" s="386" t="s">
        <v>2618</v>
      </c>
      <c r="C237" s="373" t="s">
        <v>76</v>
      </c>
      <c r="D237" s="374">
        <v>1</v>
      </c>
      <c r="E237" s="387"/>
      <c r="F237" s="375"/>
    </row>
    <row r="238" spans="1:6" s="257" customFormat="1" ht="12.75">
      <c r="A238" s="377"/>
      <c r="B238" s="386"/>
      <c r="C238" s="373"/>
      <c r="D238" s="374"/>
      <c r="E238" s="387"/>
      <c r="F238" s="375"/>
    </row>
    <row r="239" spans="1:6" s="257" customFormat="1" ht="38.25">
      <c r="A239" s="377" t="s">
        <v>2619</v>
      </c>
      <c r="B239" s="399" t="s">
        <v>2620</v>
      </c>
      <c r="C239" s="373"/>
      <c r="D239" s="374"/>
      <c r="E239" s="375"/>
      <c r="F239" s="375"/>
    </row>
    <row r="240" spans="1:6" s="257" customFormat="1" ht="12.75">
      <c r="A240" s="400"/>
      <c r="B240" s="379" t="s">
        <v>2621</v>
      </c>
      <c r="C240" s="373"/>
      <c r="D240" s="374"/>
      <c r="E240" s="375"/>
      <c r="F240" s="375"/>
    </row>
    <row r="241" spans="1:6" s="257" customFormat="1" ht="12.75">
      <c r="A241" s="400"/>
      <c r="B241" s="379" t="s">
        <v>2622</v>
      </c>
      <c r="C241" s="373"/>
      <c r="D241" s="374"/>
      <c r="E241" s="375"/>
      <c r="F241" s="375"/>
    </row>
    <row r="242" spans="1:6" s="257" customFormat="1" ht="12.75">
      <c r="A242" s="400"/>
      <c r="B242" s="379" t="s">
        <v>2623</v>
      </c>
      <c r="C242" s="373"/>
      <c r="D242" s="374"/>
      <c r="E242" s="375"/>
      <c r="F242" s="375"/>
    </row>
    <row r="243" spans="1:6" s="257" customFormat="1" ht="12.75">
      <c r="A243" s="400"/>
      <c r="B243" s="379" t="s">
        <v>2624</v>
      </c>
      <c r="C243" s="373"/>
      <c r="D243" s="374"/>
      <c r="E243" s="375"/>
      <c r="F243" s="375"/>
    </row>
    <row r="244" spans="1:6" s="257" customFormat="1" ht="12.75">
      <c r="A244" s="400"/>
      <c r="B244" s="379" t="s">
        <v>2625</v>
      </c>
      <c r="C244" s="373"/>
      <c r="D244" s="374"/>
      <c r="E244" s="375"/>
      <c r="F244" s="375"/>
    </row>
    <row r="245" spans="1:6" s="257" customFormat="1" ht="12.75">
      <c r="A245" s="400"/>
      <c r="B245" s="379" t="s">
        <v>2626</v>
      </c>
      <c r="C245" s="373" t="s">
        <v>18</v>
      </c>
      <c r="D245" s="374">
        <v>1</v>
      </c>
      <c r="E245" s="375"/>
      <c r="F245" s="375"/>
    </row>
    <row r="246" spans="1:6" s="257" customFormat="1" ht="12.75">
      <c r="A246" s="400"/>
      <c r="B246" s="379"/>
      <c r="C246" s="373"/>
      <c r="D246" s="374"/>
      <c r="E246" s="375"/>
      <c r="F246" s="375"/>
    </row>
    <row r="247" spans="1:6" s="257" customFormat="1" ht="76.5">
      <c r="A247" s="377" t="s">
        <v>2627</v>
      </c>
      <c r="B247" s="399" t="s">
        <v>2628</v>
      </c>
      <c r="C247" s="399" t="s">
        <v>76</v>
      </c>
      <c r="D247" s="401">
        <v>1</v>
      </c>
      <c r="E247" s="387"/>
      <c r="F247" s="375"/>
    </row>
    <row r="248" spans="1:6" s="257" customFormat="1" ht="12.75">
      <c r="A248" s="400"/>
      <c r="B248" s="379"/>
      <c r="C248" s="379"/>
      <c r="D248" s="380"/>
      <c r="E248" s="387"/>
      <c r="F248" s="375"/>
    </row>
    <row r="249" spans="1:6" s="257" customFormat="1" ht="12.75">
      <c r="A249" s="396"/>
      <c r="B249" s="402" t="s">
        <v>2629</v>
      </c>
      <c r="C249" s="390"/>
      <c r="D249" s="391"/>
      <c r="E249" s="392"/>
      <c r="F249" s="393"/>
    </row>
    <row r="250" spans="1:6" s="257" customFormat="1" ht="12.75">
      <c r="A250" s="396"/>
      <c r="B250" s="390"/>
      <c r="C250" s="390"/>
      <c r="D250" s="391"/>
      <c r="E250" s="392"/>
      <c r="F250" s="393"/>
    </row>
    <row r="251" spans="1:6" s="257" customFormat="1" ht="63.75">
      <c r="A251" s="388" t="s">
        <v>2209</v>
      </c>
      <c r="B251" s="395" t="s">
        <v>2630</v>
      </c>
      <c r="C251" s="395" t="s">
        <v>76</v>
      </c>
      <c r="D251" s="403">
        <v>1</v>
      </c>
      <c r="E251" s="392"/>
      <c r="F251" s="393"/>
    </row>
    <row r="252" spans="1:6" s="257" customFormat="1" ht="12.75">
      <c r="A252" s="404"/>
      <c r="B252" s="395"/>
      <c r="C252" s="395"/>
      <c r="D252" s="403"/>
      <c r="E252" s="392"/>
      <c r="F252" s="393"/>
    </row>
    <row r="253" spans="1:6" s="257" customFormat="1" ht="76.5">
      <c r="A253" s="388" t="s">
        <v>2212</v>
      </c>
      <c r="B253" s="565" t="s">
        <v>2631</v>
      </c>
      <c r="C253" s="405" t="s">
        <v>18</v>
      </c>
      <c r="D253" s="406">
        <v>1</v>
      </c>
      <c r="E253" s="392"/>
      <c r="F253" s="393"/>
    </row>
    <row r="254" spans="1:6" s="257" customFormat="1" ht="12.75">
      <c r="A254" s="397"/>
      <c r="B254" s="565"/>
      <c r="C254" s="405"/>
      <c r="D254" s="406"/>
      <c r="E254" s="392"/>
      <c r="F254" s="393"/>
    </row>
    <row r="255" spans="1:6" s="257" customFormat="1" ht="25.5">
      <c r="A255" s="388" t="s">
        <v>2215</v>
      </c>
      <c r="B255" s="566" t="s">
        <v>2632</v>
      </c>
      <c r="C255" s="405" t="s">
        <v>18</v>
      </c>
      <c r="D255" s="406">
        <v>1</v>
      </c>
      <c r="E255" s="392"/>
      <c r="F255" s="393"/>
    </row>
    <row r="256" spans="1:6" s="257" customFormat="1" ht="12.75">
      <c r="A256" s="396"/>
      <c r="B256" s="566"/>
      <c r="C256" s="405"/>
      <c r="D256" s="406"/>
      <c r="E256" s="392"/>
      <c r="F256" s="393"/>
    </row>
    <row r="257" spans="1:6" s="257" customFormat="1" ht="25.5">
      <c r="A257" s="388" t="s">
        <v>2219</v>
      </c>
      <c r="B257" s="389" t="s">
        <v>2633</v>
      </c>
      <c r="C257" s="405" t="s">
        <v>18</v>
      </c>
      <c r="D257" s="406">
        <v>1</v>
      </c>
      <c r="E257" s="392"/>
      <c r="F257" s="393"/>
    </row>
    <row r="258" spans="1:6" s="257" customFormat="1" ht="12.75">
      <c r="A258" s="388"/>
      <c r="B258" s="389"/>
      <c r="C258" s="405"/>
      <c r="D258" s="406"/>
      <c r="E258" s="392"/>
      <c r="F258" s="393"/>
    </row>
    <row r="259" spans="1:6" s="257" customFormat="1" ht="25.5">
      <c r="A259" s="388" t="s">
        <v>2222</v>
      </c>
      <c r="B259" s="389" t="s">
        <v>2634</v>
      </c>
      <c r="C259" s="405" t="s">
        <v>18</v>
      </c>
      <c r="D259" s="406">
        <v>1</v>
      </c>
      <c r="E259" s="392"/>
      <c r="F259" s="393"/>
    </row>
    <row r="260" spans="1:6" s="257" customFormat="1" ht="12.75">
      <c r="A260" s="396"/>
      <c r="B260" s="405"/>
      <c r="C260" s="405"/>
      <c r="D260" s="406"/>
      <c r="E260" s="392"/>
      <c r="F260" s="393"/>
    </row>
    <row r="261" spans="1:6" s="257" customFormat="1" ht="25.5">
      <c r="A261" s="388" t="s">
        <v>2226</v>
      </c>
      <c r="B261" s="389" t="s">
        <v>2635</v>
      </c>
      <c r="C261" s="405" t="s">
        <v>18</v>
      </c>
      <c r="D261" s="406">
        <v>1</v>
      </c>
      <c r="E261" s="392"/>
      <c r="F261" s="393"/>
    </row>
    <row r="262" spans="1:6" s="257" customFormat="1" ht="12.75">
      <c r="A262" s="396"/>
      <c r="B262" s="405"/>
      <c r="C262" s="405"/>
      <c r="D262" s="406"/>
      <c r="E262" s="392"/>
      <c r="F262" s="393"/>
    </row>
    <row r="263" spans="1:6" s="257" customFormat="1" ht="38.25">
      <c r="A263" s="388" t="s">
        <v>2229</v>
      </c>
      <c r="B263" s="389" t="s">
        <v>2636</v>
      </c>
      <c r="C263" s="405" t="s">
        <v>18</v>
      </c>
      <c r="D263" s="406">
        <v>1</v>
      </c>
      <c r="E263" s="392"/>
      <c r="F263" s="393"/>
    </row>
    <row r="264" spans="1:6" s="257" customFormat="1" ht="12.75">
      <c r="A264" s="396"/>
      <c r="B264" s="405"/>
      <c r="C264" s="405"/>
      <c r="D264" s="406"/>
      <c r="E264" s="392"/>
      <c r="F264" s="393"/>
    </row>
    <row r="265" spans="1:6" s="257" customFormat="1" ht="25.5">
      <c r="A265" s="388" t="s">
        <v>2231</v>
      </c>
      <c r="B265" s="389" t="s">
        <v>2637</v>
      </c>
      <c r="C265" s="405" t="s">
        <v>18</v>
      </c>
      <c r="D265" s="406">
        <v>1</v>
      </c>
      <c r="E265" s="392"/>
      <c r="F265" s="393"/>
    </row>
    <row r="266" spans="1:6">
      <c r="D266" s="104"/>
      <c r="E266" s="223"/>
      <c r="F266" s="222"/>
    </row>
    <row r="267" spans="1:6">
      <c r="D267" s="104"/>
      <c r="E267" s="223"/>
      <c r="F267" s="222"/>
    </row>
    <row r="268" spans="1:6">
      <c r="D268" s="104"/>
      <c r="E268" s="223"/>
      <c r="F268" s="222"/>
    </row>
    <row r="269" spans="1:6">
      <c r="B269" s="103"/>
      <c r="D269" s="104"/>
      <c r="E269" s="223"/>
      <c r="F269" s="222"/>
    </row>
    <row r="270" spans="1:6" s="99" customFormat="1">
      <c r="A270" s="226" t="s">
        <v>710</v>
      </c>
      <c r="B270" s="115" t="s">
        <v>679</v>
      </c>
      <c r="C270" s="116"/>
      <c r="D270" s="117"/>
      <c r="E270" s="224"/>
      <c r="F270" s="224"/>
    </row>
    <row r="271" spans="1:6" s="99" customFormat="1">
      <c r="B271" s="96"/>
      <c r="C271" s="97"/>
      <c r="D271" s="113"/>
      <c r="E271" s="221"/>
      <c r="F271" s="221"/>
    </row>
    <row r="272" spans="1:6" s="99" customFormat="1">
      <c r="A272" s="102"/>
      <c r="C272" s="100"/>
      <c r="D272" s="113"/>
      <c r="E272" s="221"/>
      <c r="F272" s="221"/>
    </row>
    <row r="273" spans="1:6" s="99" customFormat="1">
      <c r="A273" s="102"/>
      <c r="C273" s="100"/>
      <c r="D273" s="113"/>
      <c r="E273" s="221"/>
      <c r="F273" s="221"/>
    </row>
    <row r="274" spans="1:6" s="99" customFormat="1">
      <c r="A274" s="102"/>
      <c r="C274" s="100"/>
      <c r="D274" s="113"/>
      <c r="E274" s="221"/>
      <c r="F274" s="222"/>
    </row>
    <row r="275" spans="1:6">
      <c r="A275" s="101"/>
    </row>
    <row r="276" spans="1:6">
      <c r="A276" s="101"/>
    </row>
    <row r="277" spans="1:6">
      <c r="A277" s="101"/>
    </row>
    <row r="278" spans="1:6">
      <c r="A278" s="101"/>
    </row>
    <row r="279" spans="1:6" ht="13.5" customHeight="1">
      <c r="A279" s="101"/>
    </row>
    <row r="280" spans="1:6">
      <c r="A280" s="101"/>
    </row>
    <row r="281" spans="1:6">
      <c r="A281" s="101"/>
    </row>
    <row r="282" spans="1:6">
      <c r="A282" s="101"/>
    </row>
    <row r="283" spans="1:6">
      <c r="A283" s="101"/>
    </row>
    <row r="284" spans="1:6">
      <c r="A284" s="101"/>
    </row>
    <row r="285" spans="1:6">
      <c r="A285" s="101"/>
    </row>
    <row r="286" spans="1:6">
      <c r="A286" s="101"/>
    </row>
    <row r="287" spans="1:6">
      <c r="A287" s="101"/>
    </row>
    <row r="288" spans="1:6">
      <c r="A288" s="101"/>
    </row>
    <row r="289" spans="1:8" s="99" customFormat="1">
      <c r="A289" s="101"/>
      <c r="C289" s="100"/>
      <c r="D289" s="113"/>
      <c r="E289" s="221"/>
      <c r="F289" s="221"/>
      <c r="G289" s="98"/>
      <c r="H289" s="98"/>
    </row>
    <row r="290" spans="1:8" s="99" customFormat="1">
      <c r="A290" s="101"/>
      <c r="C290" s="100"/>
      <c r="D290" s="113"/>
      <c r="E290" s="221"/>
      <c r="F290" s="221"/>
      <c r="G290" s="98"/>
      <c r="H290" s="98"/>
    </row>
    <row r="291" spans="1:8" s="99" customFormat="1">
      <c r="A291" s="101"/>
      <c r="C291" s="100"/>
      <c r="D291" s="113"/>
      <c r="E291" s="221"/>
      <c r="F291" s="221"/>
      <c r="G291" s="98"/>
      <c r="H291" s="98"/>
    </row>
    <row r="292" spans="1:8" s="99" customFormat="1">
      <c r="A292" s="101"/>
      <c r="C292" s="100"/>
      <c r="D292" s="113"/>
      <c r="E292" s="221"/>
      <c r="F292" s="221"/>
      <c r="G292" s="98"/>
      <c r="H292" s="98"/>
    </row>
    <row r="293" spans="1:8" s="99" customFormat="1">
      <c r="A293" s="101"/>
      <c r="C293" s="100"/>
      <c r="D293" s="113"/>
      <c r="E293" s="221"/>
      <c r="F293" s="221"/>
      <c r="G293" s="98"/>
      <c r="H293" s="98"/>
    </row>
    <row r="294" spans="1:8" s="99" customFormat="1">
      <c r="A294" s="101"/>
      <c r="C294" s="100"/>
      <c r="D294" s="113"/>
      <c r="E294" s="221"/>
      <c r="F294" s="221"/>
      <c r="G294" s="98"/>
      <c r="H294" s="98"/>
    </row>
    <row r="295" spans="1:8" s="99" customFormat="1">
      <c r="A295" s="101"/>
      <c r="C295" s="100"/>
      <c r="D295" s="113"/>
      <c r="E295" s="221"/>
      <c r="F295" s="221"/>
      <c r="G295" s="98"/>
      <c r="H295" s="98"/>
    </row>
    <row r="296" spans="1:8" s="99" customFormat="1">
      <c r="A296" s="101"/>
      <c r="C296" s="100"/>
      <c r="D296" s="113"/>
      <c r="E296" s="221"/>
      <c r="F296" s="221"/>
      <c r="G296" s="98"/>
      <c r="H296" s="98"/>
    </row>
    <row r="297" spans="1:8" s="99" customFormat="1">
      <c r="A297" s="101"/>
      <c r="C297" s="100"/>
      <c r="D297" s="113"/>
      <c r="E297" s="221"/>
      <c r="F297" s="221"/>
      <c r="G297" s="98"/>
      <c r="H297" s="98"/>
    </row>
    <row r="298" spans="1:8" s="99" customFormat="1">
      <c r="A298" s="101"/>
      <c r="C298" s="100"/>
      <c r="D298" s="113"/>
      <c r="E298" s="221"/>
      <c r="F298" s="221"/>
      <c r="G298" s="98"/>
      <c r="H298" s="98"/>
    </row>
    <row r="299" spans="1:8" s="99" customFormat="1">
      <c r="A299" s="101"/>
      <c r="C299" s="100"/>
      <c r="D299" s="113"/>
      <c r="E299" s="221"/>
      <c r="F299" s="221"/>
      <c r="G299" s="98"/>
      <c r="H299" s="98"/>
    </row>
    <row r="300" spans="1:8" s="99" customFormat="1">
      <c r="A300" s="101"/>
      <c r="C300" s="100"/>
      <c r="D300" s="113"/>
      <c r="E300" s="221"/>
      <c r="F300" s="221"/>
      <c r="G300" s="98"/>
      <c r="H300" s="98"/>
    </row>
    <row r="301" spans="1:8" s="99" customFormat="1">
      <c r="A301" s="101"/>
      <c r="C301" s="100"/>
      <c r="D301" s="113"/>
      <c r="E301" s="221"/>
      <c r="F301" s="221"/>
      <c r="G301" s="98"/>
      <c r="H301" s="98"/>
    </row>
    <row r="302" spans="1:8" s="99" customFormat="1">
      <c r="A302" s="101"/>
      <c r="C302" s="100"/>
      <c r="D302" s="113"/>
      <c r="E302" s="221"/>
      <c r="F302" s="221"/>
      <c r="G302" s="98"/>
      <c r="H302" s="98"/>
    </row>
    <row r="303" spans="1:8" s="99" customFormat="1">
      <c r="A303" s="101"/>
      <c r="C303" s="100"/>
      <c r="D303" s="113"/>
      <c r="E303" s="221"/>
      <c r="F303" s="221"/>
      <c r="G303" s="98"/>
      <c r="H303" s="98"/>
    </row>
    <row r="304" spans="1:8" s="99" customFormat="1">
      <c r="A304" s="101"/>
      <c r="C304" s="100"/>
      <c r="D304" s="113"/>
      <c r="E304" s="221"/>
      <c r="F304" s="221"/>
      <c r="G304" s="98"/>
      <c r="H304" s="98"/>
    </row>
    <row r="305" spans="1:8" s="99" customFormat="1">
      <c r="A305" s="101"/>
      <c r="C305" s="100"/>
      <c r="D305" s="113"/>
      <c r="E305" s="221"/>
      <c r="F305" s="221"/>
      <c r="G305" s="98"/>
      <c r="H305" s="98"/>
    </row>
    <row r="306" spans="1:8" s="99" customFormat="1">
      <c r="A306" s="101"/>
      <c r="C306" s="100"/>
      <c r="D306" s="113"/>
      <c r="E306" s="221"/>
      <c r="F306" s="221"/>
      <c r="G306" s="98"/>
      <c r="H306" s="98"/>
    </row>
    <row r="307" spans="1:8" s="99" customFormat="1">
      <c r="A307" s="101"/>
      <c r="C307" s="100"/>
      <c r="D307" s="113"/>
      <c r="E307" s="221"/>
      <c r="F307" s="221"/>
      <c r="G307" s="98"/>
      <c r="H307" s="98"/>
    </row>
  </sheetData>
  <mergeCells count="86">
    <mergeCell ref="B164:F164"/>
    <mergeCell ref="B155:F155"/>
    <mergeCell ref="B159:F159"/>
    <mergeCell ref="B160:F160"/>
    <mergeCell ref="B161:F161"/>
    <mergeCell ref="B162:F162"/>
    <mergeCell ref="B147:F147"/>
    <mergeCell ref="B149:F149"/>
    <mergeCell ref="B151:F151"/>
    <mergeCell ref="B153:F153"/>
    <mergeCell ref="B154:F154"/>
    <mergeCell ref="B138:F138"/>
    <mergeCell ref="B139:F139"/>
    <mergeCell ref="B141:F141"/>
    <mergeCell ref="B143:F143"/>
    <mergeCell ref="B145:F145"/>
    <mergeCell ref="B128:F128"/>
    <mergeCell ref="B130:F130"/>
    <mergeCell ref="B133:F133"/>
    <mergeCell ref="B134:F134"/>
    <mergeCell ref="B136:F136"/>
    <mergeCell ref="B118:F118"/>
    <mergeCell ref="B120:F120"/>
    <mergeCell ref="B122:F122"/>
    <mergeCell ref="B124:F124"/>
    <mergeCell ref="B126:F126"/>
    <mergeCell ref="B108:F108"/>
    <mergeCell ref="B110:F110"/>
    <mergeCell ref="B112:F112"/>
    <mergeCell ref="B114:F114"/>
    <mergeCell ref="B116:F116"/>
    <mergeCell ref="B98:F98"/>
    <mergeCell ref="B100:F100"/>
    <mergeCell ref="B102:F102"/>
    <mergeCell ref="B104:F104"/>
    <mergeCell ref="B106:F106"/>
    <mergeCell ref="B88:F88"/>
    <mergeCell ref="B90:F90"/>
    <mergeCell ref="B92:F92"/>
    <mergeCell ref="B94:F94"/>
    <mergeCell ref="B96:F96"/>
    <mergeCell ref="B78:F78"/>
    <mergeCell ref="B80:F80"/>
    <mergeCell ref="B82:F82"/>
    <mergeCell ref="B84:F84"/>
    <mergeCell ref="B86:F86"/>
    <mergeCell ref="B68:F68"/>
    <mergeCell ref="B70:F70"/>
    <mergeCell ref="B72:F72"/>
    <mergeCell ref="B74:F74"/>
    <mergeCell ref="B76:F76"/>
    <mergeCell ref="B58:F58"/>
    <mergeCell ref="B60:F60"/>
    <mergeCell ref="B62:F62"/>
    <mergeCell ref="B64:F64"/>
    <mergeCell ref="B66:F66"/>
    <mergeCell ref="B48:F48"/>
    <mergeCell ref="B50:F50"/>
    <mergeCell ref="B52:F52"/>
    <mergeCell ref="B54:F54"/>
    <mergeCell ref="B56:F56"/>
    <mergeCell ref="B39:F39"/>
    <mergeCell ref="B41:F41"/>
    <mergeCell ref="B43:F43"/>
    <mergeCell ref="B45:F45"/>
    <mergeCell ref="B46:F46"/>
    <mergeCell ref="B30:F30"/>
    <mergeCell ref="B32:F32"/>
    <mergeCell ref="B34:F34"/>
    <mergeCell ref="B36:F36"/>
    <mergeCell ref="B38:F38"/>
    <mergeCell ref="B22:F22"/>
    <mergeCell ref="B23:F23"/>
    <mergeCell ref="B25:F25"/>
    <mergeCell ref="B27:F27"/>
    <mergeCell ref="B28:F28"/>
    <mergeCell ref="B13:F13"/>
    <mergeCell ref="B15:F15"/>
    <mergeCell ref="B16:F16"/>
    <mergeCell ref="B18:F18"/>
    <mergeCell ref="B20:F20"/>
    <mergeCell ref="A2:D2"/>
    <mergeCell ref="E2:F2"/>
    <mergeCell ref="B8:F8"/>
    <mergeCell ref="B10:F10"/>
    <mergeCell ref="B11:F11"/>
  </mergeCells>
  <pageMargins left="0.70833333333333337" right="0.19685039370078741" top="1.1067708333333333" bottom="1.1023622047244095" header="0.59055118110236227" footer="0.47244094488188981"/>
  <pageSetup paperSize="9" scale="85" orientation="portrait" cellComments="asDisplayed" useFirstPageNumber="1" r:id="rId1"/>
  <headerFooter alignWithMargins="0">
    <oddHeader xml:space="preserve">&amp;L&amp;7ZAGREBAČKI HOLDING d.o.o., 
Ulica grada Vukovara 41, Zagreb
&amp;C&amp;7CJELOVITA OBNOVA ZGRADE JAVNE NAMJENE - 
''ŠKOLE'' HOSTELA GRAD MLADIH, GRANEŠINA
Aleja hrvatske mladeži 29, Zagreb
k.č. 7098, k.o. Granešina Nova&amp;R&amp;7ZOP: 12/24                </oddHeader>
    <oddFooter>&amp;R&amp;P</oddFooter>
  </headerFooter>
  <rowBreaks count="2" manualBreakCount="2">
    <brk id="15" max="5" man="1"/>
    <brk id="26" max="5" man="1"/>
  </rowBreaks>
  <drawing r:id="rId2"/>
</worksheet>
</file>

<file path=xl/worksheets/sheet28.xml><?xml version="1.0" encoding="utf-8"?>
<worksheet xmlns="http://schemas.openxmlformats.org/spreadsheetml/2006/main" xmlns:r="http://schemas.openxmlformats.org/officeDocument/2006/relationships">
  <sheetPr>
    <tabColor rgb="FF00B050"/>
  </sheetPr>
  <dimension ref="A1:IN941"/>
  <sheetViews>
    <sheetView showZeros="0" view="pageBreakPreview" topLeftCell="A558" zoomScale="85" zoomScaleNormal="85" zoomScaleSheetLayoutView="85" zoomScalePageLayoutView="93" workbookViewId="0">
      <selection activeCell="E564" sqref="E564:G943"/>
    </sheetView>
  </sheetViews>
  <sheetFormatPr defaultColWidth="9.140625" defaultRowHeight="15"/>
  <cols>
    <col min="1" max="1" width="8.7109375" style="513" customWidth="1"/>
    <col min="2" max="2" width="45" style="545" customWidth="1"/>
    <col min="3" max="3" width="8.5703125" style="515" customWidth="1"/>
    <col min="4" max="4" width="10.7109375" style="516" customWidth="1"/>
    <col min="5" max="5" width="13.7109375" style="517" customWidth="1"/>
    <col min="6" max="6" width="16.5703125" style="517" customWidth="1"/>
    <col min="7" max="16384" width="9.140625" style="494"/>
  </cols>
  <sheetData>
    <row r="1" spans="1:6">
      <c r="A1" s="491" t="s">
        <v>260</v>
      </c>
      <c r="B1" s="285" t="s">
        <v>261</v>
      </c>
      <c r="C1" s="302" t="s">
        <v>262</v>
      </c>
      <c r="D1" s="303" t="s">
        <v>263</v>
      </c>
      <c r="E1" s="492" t="s">
        <v>264</v>
      </c>
      <c r="F1" s="493" t="s">
        <v>265</v>
      </c>
    </row>
    <row r="2" spans="1:6">
      <c r="A2" s="495"/>
      <c r="B2" s="495"/>
      <c r="C2" s="495"/>
      <c r="D2" s="495"/>
      <c r="E2" s="495"/>
      <c r="F2" s="495"/>
    </row>
    <row r="3" spans="1:6">
      <c r="A3" s="496"/>
      <c r="B3" s="496"/>
      <c r="C3" s="496"/>
      <c r="D3" s="496"/>
      <c r="E3" s="496"/>
      <c r="F3" s="496"/>
    </row>
    <row r="4" spans="1:6">
      <c r="A4" s="496" t="s">
        <v>730</v>
      </c>
      <c r="B4" s="497" t="s">
        <v>2638</v>
      </c>
      <c r="C4" s="497"/>
      <c r="D4" s="497"/>
      <c r="E4" s="497"/>
      <c r="F4" s="497"/>
    </row>
    <row r="5" spans="1:6">
      <c r="A5" s="498"/>
      <c r="B5" s="498"/>
      <c r="C5" s="498"/>
      <c r="D5" s="498"/>
      <c r="E5" s="498"/>
      <c r="F5" s="498"/>
    </row>
    <row r="6" spans="1:6" s="567" customFormat="1">
      <c r="A6" s="499"/>
      <c r="B6" s="425"/>
      <c r="C6" s="436"/>
      <c r="D6" s="436"/>
      <c r="E6" s="436"/>
      <c r="F6" s="436"/>
    </row>
    <row r="7" spans="1:6" s="567" customFormat="1">
      <c r="A7" s="499"/>
      <c r="B7" s="425" t="s">
        <v>2639</v>
      </c>
      <c r="C7" s="436"/>
      <c r="D7" s="436"/>
      <c r="E7" s="436"/>
      <c r="F7" s="436"/>
    </row>
    <row r="8" spans="1:6" s="12" customFormat="1" ht="120">
      <c r="A8" s="465"/>
      <c r="B8" s="342" t="s">
        <v>2640</v>
      </c>
      <c r="C8" s="296"/>
      <c r="D8" s="296"/>
      <c r="E8" s="296"/>
      <c r="F8" s="296"/>
    </row>
    <row r="9" spans="1:6" s="12" customFormat="1" ht="210">
      <c r="A9" s="465"/>
      <c r="B9" s="342" t="s">
        <v>2641</v>
      </c>
      <c r="E9" s="306"/>
    </row>
    <row r="10" spans="1:6" s="12" customFormat="1" ht="45">
      <c r="A10" s="465"/>
      <c r="B10" s="342" t="s">
        <v>2642</v>
      </c>
      <c r="C10" s="296"/>
      <c r="D10" s="296"/>
      <c r="E10" s="296"/>
      <c r="F10" s="296"/>
    </row>
    <row r="11" spans="1:6" s="12" customFormat="1" ht="45">
      <c r="A11" s="465"/>
      <c r="B11" s="342" t="s">
        <v>2643</v>
      </c>
      <c r="C11" s="296"/>
      <c r="D11" s="296"/>
      <c r="E11" s="296"/>
      <c r="F11" s="296"/>
    </row>
    <row r="12" spans="1:6" s="12" customFormat="1" ht="105">
      <c r="A12" s="465"/>
      <c r="B12" s="21" t="s">
        <v>2644</v>
      </c>
      <c r="C12" s="296"/>
      <c r="D12" s="296"/>
      <c r="E12" s="296"/>
      <c r="F12" s="296"/>
    </row>
    <row r="13" spans="1:6" s="12" customFormat="1" ht="120">
      <c r="A13" s="465"/>
      <c r="B13" s="21" t="s">
        <v>2645</v>
      </c>
      <c r="C13" s="296"/>
      <c r="D13" s="296"/>
      <c r="E13" s="296"/>
      <c r="F13" s="296"/>
    </row>
    <row r="14" spans="1:6" s="12" customFormat="1" ht="60">
      <c r="A14" s="465"/>
      <c r="B14" s="342" t="s">
        <v>2646</v>
      </c>
      <c r="C14" s="296"/>
      <c r="D14" s="296"/>
      <c r="E14" s="296"/>
      <c r="F14" s="296"/>
    </row>
    <row r="15" spans="1:6" s="12" customFormat="1" ht="75">
      <c r="A15" s="465"/>
      <c r="B15" s="342" t="s">
        <v>2647</v>
      </c>
      <c r="E15" s="306"/>
    </row>
    <row r="16" spans="1:6" s="12" customFormat="1" ht="60">
      <c r="A16" s="465"/>
      <c r="B16" s="342" t="s">
        <v>2648</v>
      </c>
      <c r="E16" s="306"/>
    </row>
    <row r="17" spans="1:6" s="12" customFormat="1" ht="225">
      <c r="A17" s="465"/>
      <c r="B17" s="342" t="s">
        <v>2649</v>
      </c>
      <c r="E17" s="306"/>
    </row>
    <row r="18" spans="1:6" s="12" customFormat="1" ht="195">
      <c r="A18" s="465"/>
      <c r="B18" s="342" t="s">
        <v>2650</v>
      </c>
      <c r="E18" s="306"/>
    </row>
    <row r="19" spans="1:6" s="12" customFormat="1" ht="75">
      <c r="A19" s="465"/>
      <c r="B19" s="342" t="s">
        <v>2651</v>
      </c>
      <c r="E19" s="306"/>
    </row>
    <row r="20" spans="1:6" s="12" customFormat="1" ht="120">
      <c r="A20" s="465"/>
      <c r="B20" s="342" t="s">
        <v>2652</v>
      </c>
      <c r="E20" s="306"/>
    </row>
    <row r="21" spans="1:6" s="12" customFormat="1" ht="120">
      <c r="A21" s="465"/>
      <c r="B21" s="446" t="s">
        <v>2653</v>
      </c>
      <c r="E21" s="306"/>
    </row>
    <row r="22" spans="1:6" s="12" customFormat="1">
      <c r="A22" s="465"/>
      <c r="B22" s="342"/>
      <c r="C22" s="296"/>
      <c r="D22" s="296"/>
      <c r="E22" s="296"/>
      <c r="F22" s="296"/>
    </row>
    <row r="23" spans="1:6" s="12" customFormat="1">
      <c r="A23" s="465"/>
      <c r="B23" s="342"/>
      <c r="E23" s="306"/>
    </row>
    <row r="24" spans="1:6" s="12" customFormat="1">
      <c r="A24" s="465"/>
      <c r="B24" s="424"/>
      <c r="C24" s="296"/>
      <c r="D24" s="296"/>
      <c r="E24" s="296"/>
      <c r="F24" s="426"/>
    </row>
    <row r="25" spans="1:6" s="567" customFormat="1">
      <c r="A25" s="499" t="s">
        <v>806</v>
      </c>
      <c r="B25" s="568" t="s">
        <v>2898</v>
      </c>
      <c r="C25" s="436"/>
      <c r="D25" s="436"/>
      <c r="E25" s="436"/>
      <c r="F25" s="569"/>
    </row>
    <row r="26" spans="1:6" s="12" customFormat="1">
      <c r="A26" s="499"/>
      <c r="B26" s="424"/>
      <c r="C26" s="296"/>
      <c r="D26" s="296"/>
      <c r="E26" s="296"/>
      <c r="F26" s="426"/>
    </row>
    <row r="27" spans="1:6" s="12" customFormat="1">
      <c r="A27" s="499"/>
      <c r="B27" s="424"/>
      <c r="C27" s="296"/>
      <c r="D27" s="296"/>
      <c r="E27" s="296"/>
      <c r="F27" s="426"/>
    </row>
    <row r="28" spans="1:6" s="12" customFormat="1">
      <c r="A28" s="500" t="s">
        <v>2899</v>
      </c>
      <c r="B28" s="6" t="s">
        <v>2900</v>
      </c>
      <c r="C28" s="344"/>
      <c r="D28" s="344" t="s">
        <v>34</v>
      </c>
      <c r="E28" s="345"/>
      <c r="F28" s="345"/>
    </row>
    <row r="29" spans="1:6" s="12" customFormat="1">
      <c r="A29" s="435"/>
      <c r="B29" s="6"/>
      <c r="C29" s="344"/>
      <c r="D29" s="344" t="s">
        <v>34</v>
      </c>
      <c r="E29" s="345"/>
      <c r="F29" s="345"/>
    </row>
    <row r="30" spans="1:6" s="12" customFormat="1" ht="90">
      <c r="A30" s="570"/>
      <c r="B30" s="233" t="s">
        <v>2901</v>
      </c>
      <c r="C30" s="426"/>
    </row>
    <row r="31" spans="1:6" s="12" customFormat="1" ht="75">
      <c r="A31" s="435">
        <v>1</v>
      </c>
      <c r="B31" s="6" t="s">
        <v>2902</v>
      </c>
      <c r="C31" s="344" t="s">
        <v>76</v>
      </c>
      <c r="D31" s="344">
        <v>1</v>
      </c>
      <c r="E31" s="345"/>
      <c r="F31" s="345"/>
    </row>
    <row r="32" spans="1:6" s="12" customFormat="1">
      <c r="A32" s="435"/>
      <c r="B32" s="6"/>
      <c r="C32" s="344"/>
      <c r="D32" s="344" t="s">
        <v>34</v>
      </c>
      <c r="E32" s="345"/>
      <c r="F32" s="345"/>
    </row>
    <row r="33" spans="1:248" s="12" customFormat="1" ht="30">
      <c r="A33" s="435">
        <f>SUM(A29:A32) +1</f>
        <v>2</v>
      </c>
      <c r="B33" s="6" t="s">
        <v>2903</v>
      </c>
      <c r="C33" s="344" t="s">
        <v>280</v>
      </c>
      <c r="D33" s="344">
        <v>6</v>
      </c>
      <c r="E33" s="345"/>
      <c r="F33" s="345"/>
    </row>
    <row r="34" spans="1:248" s="12" customFormat="1">
      <c r="A34" s="435"/>
      <c r="B34" s="6"/>
      <c r="C34" s="296"/>
      <c r="D34" s="344" t="s">
        <v>34</v>
      </c>
      <c r="E34" s="297"/>
      <c r="F34" s="297"/>
    </row>
    <row r="35" spans="1:248" s="12" customFormat="1" ht="30">
      <c r="A35" s="435">
        <v>3</v>
      </c>
      <c r="B35" s="6" t="s">
        <v>2904</v>
      </c>
      <c r="C35" s="344" t="s">
        <v>2489</v>
      </c>
      <c r="D35" s="571">
        <v>3.6</v>
      </c>
      <c r="E35" s="345"/>
      <c r="F35" s="345"/>
    </row>
    <row r="36" spans="1:248" s="12" customFormat="1">
      <c r="A36" s="435"/>
      <c r="B36" s="6"/>
      <c r="C36" s="344"/>
      <c r="D36" s="571" t="s">
        <v>34</v>
      </c>
      <c r="E36" s="345"/>
      <c r="F36" s="345"/>
    </row>
    <row r="37" spans="1:248" s="572" customFormat="1" ht="30">
      <c r="A37" s="435">
        <v>4</v>
      </c>
      <c r="B37" s="6" t="s">
        <v>2905</v>
      </c>
      <c r="C37" s="344" t="s">
        <v>76</v>
      </c>
      <c r="D37" s="344">
        <v>1</v>
      </c>
      <c r="E37" s="345"/>
      <c r="F37" s="345"/>
      <c r="IF37" s="573"/>
      <c r="IG37" s="573"/>
      <c r="IH37" s="573"/>
      <c r="II37" s="573"/>
      <c r="IJ37" s="573"/>
      <c r="IK37" s="573"/>
      <c r="IL37" s="573"/>
      <c r="IM37" s="573"/>
      <c r="IN37" s="573"/>
    </row>
    <row r="38" spans="1:248" s="572" customFormat="1">
      <c r="A38" s="574"/>
      <c r="B38" s="575"/>
      <c r="C38" s="576"/>
      <c r="D38" s="576"/>
      <c r="E38" s="577"/>
      <c r="F38" s="578"/>
      <c r="IF38" s="573"/>
      <c r="IG38" s="573"/>
      <c r="IH38" s="573"/>
      <c r="II38" s="573"/>
      <c r="IJ38" s="573"/>
      <c r="IK38" s="573"/>
      <c r="IL38" s="573"/>
      <c r="IM38" s="573"/>
      <c r="IN38" s="573"/>
    </row>
    <row r="39" spans="1:248" s="12" customFormat="1" ht="30">
      <c r="A39" s="435">
        <v>5</v>
      </c>
      <c r="B39" s="6" t="s">
        <v>2906</v>
      </c>
      <c r="C39" s="344" t="s">
        <v>3394</v>
      </c>
      <c r="D39" s="571">
        <v>3</v>
      </c>
      <c r="E39" s="345"/>
      <c r="F39" s="345"/>
    </row>
    <row r="40" spans="1:248" s="12" customFormat="1">
      <c r="A40" s="435"/>
      <c r="B40" s="6"/>
      <c r="C40" s="344"/>
      <c r="D40" s="571" t="s">
        <v>34</v>
      </c>
      <c r="E40" s="345"/>
      <c r="F40" s="345"/>
    </row>
    <row r="41" spans="1:248" s="12" customFormat="1" ht="30">
      <c r="A41" s="435">
        <f>SUM(A39:A40) +1</f>
        <v>6</v>
      </c>
      <c r="B41" s="6" t="s">
        <v>2907</v>
      </c>
      <c r="C41" s="344" t="s">
        <v>2489</v>
      </c>
      <c r="D41" s="571">
        <v>0.8</v>
      </c>
      <c r="E41" s="345"/>
      <c r="F41" s="345"/>
    </row>
    <row r="42" spans="1:248" s="12" customFormat="1">
      <c r="A42" s="435"/>
      <c r="B42" s="6"/>
      <c r="C42" s="344"/>
      <c r="D42" s="344" t="s">
        <v>34</v>
      </c>
      <c r="E42" s="345"/>
      <c r="F42" s="345"/>
    </row>
    <row r="43" spans="1:248" s="12" customFormat="1" ht="60">
      <c r="A43" s="435">
        <f>SUM(A40:A42) +1</f>
        <v>7</v>
      </c>
      <c r="B43" s="6" t="s">
        <v>2908</v>
      </c>
      <c r="C43" s="344" t="s">
        <v>280</v>
      </c>
      <c r="D43" s="344">
        <v>6</v>
      </c>
      <c r="E43" s="345"/>
      <c r="F43" s="345"/>
    </row>
    <row r="44" spans="1:248" s="12" customFormat="1">
      <c r="A44" s="435"/>
      <c r="B44" s="6"/>
      <c r="C44" s="344"/>
      <c r="D44" s="344" t="s">
        <v>34</v>
      </c>
      <c r="E44" s="345"/>
      <c r="F44" s="345"/>
    </row>
    <row r="45" spans="1:248" s="12" customFormat="1" ht="45">
      <c r="A45" s="435">
        <f>SUM(A42:A44) +1</f>
        <v>8</v>
      </c>
      <c r="B45" s="6" t="s">
        <v>2909</v>
      </c>
      <c r="C45" s="344" t="s">
        <v>2489</v>
      </c>
      <c r="D45" s="571">
        <v>2.8</v>
      </c>
      <c r="E45" s="345"/>
      <c r="F45" s="345"/>
    </row>
    <row r="46" spans="1:248" s="12" customFormat="1">
      <c r="A46" s="435"/>
      <c r="B46" s="6"/>
      <c r="C46" s="344"/>
      <c r="D46" s="571" t="s">
        <v>34</v>
      </c>
      <c r="E46" s="345"/>
      <c r="F46" s="345"/>
    </row>
    <row r="47" spans="1:248" s="12" customFormat="1" ht="30">
      <c r="A47" s="435">
        <f>SUM(A44:A46) +1</f>
        <v>9</v>
      </c>
      <c r="B47" s="6" t="s">
        <v>2910</v>
      </c>
      <c r="C47" s="344" t="s">
        <v>2489</v>
      </c>
      <c r="D47" s="571">
        <v>0.8</v>
      </c>
      <c r="E47" s="345"/>
      <c r="F47" s="345"/>
    </row>
    <row r="48" spans="1:248" s="12" customFormat="1">
      <c r="A48" s="435"/>
      <c r="B48" s="6"/>
      <c r="C48" s="344"/>
      <c r="D48" s="344" t="s">
        <v>34</v>
      </c>
      <c r="E48" s="345"/>
      <c r="F48" s="345"/>
    </row>
    <row r="49" spans="1:6" s="12" customFormat="1" ht="30">
      <c r="A49" s="435">
        <f>SUM(A46:A48) +1</f>
        <v>10</v>
      </c>
      <c r="B49" s="6" t="s">
        <v>2911</v>
      </c>
      <c r="C49" s="344" t="s">
        <v>280</v>
      </c>
      <c r="D49" s="344">
        <v>6</v>
      </c>
      <c r="E49" s="345"/>
      <c r="F49" s="345"/>
    </row>
    <row r="50" spans="1:6" s="12" customFormat="1">
      <c r="A50" s="435"/>
      <c r="B50" s="6"/>
      <c r="C50" s="344"/>
      <c r="D50" s="344" t="s">
        <v>34</v>
      </c>
      <c r="E50" s="345"/>
      <c r="F50" s="345"/>
    </row>
    <row r="51" spans="1:6" s="12" customFormat="1" ht="30">
      <c r="A51" s="435">
        <f>SUM(A48:A50) +1</f>
        <v>11</v>
      </c>
      <c r="B51" s="6" t="s">
        <v>2912</v>
      </c>
      <c r="C51" s="344" t="s">
        <v>280</v>
      </c>
      <c r="D51" s="344">
        <v>6</v>
      </c>
      <c r="E51" s="345"/>
      <c r="F51" s="345"/>
    </row>
    <row r="52" spans="1:6" s="12" customFormat="1">
      <c r="A52" s="435"/>
      <c r="B52" s="6"/>
      <c r="C52" s="344"/>
      <c r="D52" s="344" t="s">
        <v>34</v>
      </c>
      <c r="E52" s="345"/>
      <c r="F52" s="345"/>
    </row>
    <row r="53" spans="1:6" s="12" customFormat="1">
      <c r="A53" s="435" t="s">
        <v>2899</v>
      </c>
      <c r="B53" s="521" t="s">
        <v>278</v>
      </c>
      <c r="C53" s="579"/>
      <c r="D53" s="510" t="s">
        <v>34</v>
      </c>
      <c r="E53" s="580"/>
      <c r="F53" s="581"/>
    </row>
    <row r="54" spans="1:6" s="12" customFormat="1">
      <c r="A54" s="435"/>
      <c r="B54" s="327"/>
      <c r="C54" s="296"/>
      <c r="D54" s="344"/>
      <c r="E54" s="297"/>
      <c r="F54" s="297"/>
    </row>
    <row r="55" spans="1:6" s="12" customFormat="1">
      <c r="A55" s="435"/>
      <c r="B55" s="327"/>
      <c r="C55" s="296"/>
      <c r="D55" s="344"/>
      <c r="E55" s="297"/>
      <c r="F55" s="297"/>
    </row>
    <row r="56" spans="1:6" s="12" customFormat="1">
      <c r="A56" s="435"/>
      <c r="B56" s="511"/>
      <c r="C56" s="344"/>
      <c r="D56" s="344"/>
      <c r="E56" s="345"/>
      <c r="F56" s="345"/>
    </row>
    <row r="57" spans="1:6" s="12" customFormat="1">
      <c r="A57" s="500" t="s">
        <v>2913</v>
      </c>
      <c r="B57" s="6" t="s">
        <v>2914</v>
      </c>
      <c r="C57" s="344"/>
      <c r="D57" s="296"/>
      <c r="E57" s="345"/>
      <c r="F57" s="345"/>
    </row>
    <row r="58" spans="1:6" s="12" customFormat="1">
      <c r="A58" s="435"/>
      <c r="B58" s="6"/>
      <c r="C58" s="344"/>
      <c r="D58" s="344"/>
      <c r="E58" s="345"/>
      <c r="F58" s="345"/>
    </row>
    <row r="59" spans="1:6" s="12" customFormat="1" ht="45">
      <c r="A59" s="435">
        <v>1</v>
      </c>
      <c r="B59" s="6" t="s">
        <v>2915</v>
      </c>
      <c r="C59" s="344"/>
      <c r="D59" s="344" t="s">
        <v>34</v>
      </c>
      <c r="E59" s="345"/>
      <c r="F59" s="345"/>
    </row>
    <row r="60" spans="1:6" s="12" customFormat="1">
      <c r="A60" s="435"/>
      <c r="B60" s="511" t="s">
        <v>2916</v>
      </c>
      <c r="C60" s="344" t="s">
        <v>76</v>
      </c>
      <c r="D60" s="344">
        <v>1</v>
      </c>
      <c r="E60" s="345"/>
      <c r="F60" s="345"/>
    </row>
    <row r="61" spans="1:6" s="12" customFormat="1">
      <c r="A61" s="435"/>
      <c r="B61" s="6"/>
      <c r="C61" s="344"/>
      <c r="D61" s="344" t="s">
        <v>34</v>
      </c>
      <c r="E61" s="345"/>
      <c r="F61" s="345"/>
    </row>
    <row r="62" spans="1:6" s="12" customFormat="1" ht="45">
      <c r="A62" s="435">
        <v>2</v>
      </c>
      <c r="B62" s="6" t="s">
        <v>2917</v>
      </c>
      <c r="C62" s="344"/>
      <c r="D62" s="344" t="s">
        <v>34</v>
      </c>
      <c r="E62" s="345"/>
      <c r="F62" s="345"/>
    </row>
    <row r="63" spans="1:6" s="12" customFormat="1">
      <c r="A63" s="435"/>
      <c r="B63" s="511" t="s">
        <v>2918</v>
      </c>
      <c r="C63" s="344" t="s">
        <v>76</v>
      </c>
      <c r="D63" s="344">
        <v>1</v>
      </c>
      <c r="E63" s="345"/>
      <c r="F63" s="345"/>
    </row>
    <row r="64" spans="1:6" s="12" customFormat="1">
      <c r="A64" s="435"/>
      <c r="B64" s="6"/>
      <c r="C64" s="344"/>
      <c r="D64" s="344" t="s">
        <v>34</v>
      </c>
      <c r="E64" s="345"/>
      <c r="F64" s="345"/>
    </row>
    <row r="65" spans="1:6" s="12" customFormat="1" ht="90">
      <c r="A65" s="435">
        <v>3</v>
      </c>
      <c r="B65" s="6" t="s">
        <v>2919</v>
      </c>
      <c r="C65" s="344"/>
      <c r="D65" s="344" t="s">
        <v>34</v>
      </c>
      <c r="E65" s="345"/>
      <c r="F65" s="345"/>
    </row>
    <row r="66" spans="1:6" s="12" customFormat="1">
      <c r="A66" s="435"/>
      <c r="B66" s="511" t="s">
        <v>2920</v>
      </c>
      <c r="C66" s="344" t="s">
        <v>280</v>
      </c>
      <c r="D66" s="344">
        <v>6</v>
      </c>
      <c r="E66" s="345"/>
      <c r="F66" s="345"/>
    </row>
    <row r="67" spans="1:6" s="12" customFormat="1">
      <c r="A67" s="435"/>
      <c r="B67" s="6"/>
      <c r="C67" s="344"/>
      <c r="D67" s="344" t="s">
        <v>34</v>
      </c>
      <c r="E67" s="345"/>
      <c r="F67" s="345"/>
    </row>
    <row r="68" spans="1:6" s="12" customFormat="1" ht="30">
      <c r="A68" s="435">
        <v>4</v>
      </c>
      <c r="B68" s="6" t="s">
        <v>2921</v>
      </c>
      <c r="C68" s="344"/>
      <c r="D68" s="344" t="s">
        <v>34</v>
      </c>
      <c r="E68" s="345"/>
      <c r="F68" s="345"/>
    </row>
    <row r="69" spans="1:6" s="12" customFormat="1">
      <c r="A69" s="435"/>
      <c r="B69" s="511" t="s">
        <v>2922</v>
      </c>
      <c r="C69" s="296" t="s">
        <v>18</v>
      </c>
      <c r="D69" s="344">
        <v>1</v>
      </c>
      <c r="E69" s="345"/>
      <c r="F69" s="345"/>
    </row>
    <row r="70" spans="1:6" s="12" customFormat="1">
      <c r="A70" s="435"/>
      <c r="B70" s="511" t="s">
        <v>2923</v>
      </c>
      <c r="C70" s="344" t="s">
        <v>18</v>
      </c>
      <c r="D70" s="344">
        <v>1</v>
      </c>
      <c r="E70" s="345"/>
      <c r="F70" s="345"/>
    </row>
    <row r="71" spans="1:6" s="12" customFormat="1">
      <c r="A71" s="435"/>
      <c r="B71" s="511" t="s">
        <v>2924</v>
      </c>
      <c r="C71" s="344" t="s">
        <v>18</v>
      </c>
      <c r="D71" s="344">
        <v>2</v>
      </c>
      <c r="E71" s="345"/>
      <c r="F71" s="345"/>
    </row>
    <row r="72" spans="1:6" s="12" customFormat="1">
      <c r="A72" s="435"/>
      <c r="B72" s="6"/>
      <c r="C72" s="344"/>
      <c r="D72" s="344" t="s">
        <v>34</v>
      </c>
      <c r="E72" s="345"/>
      <c r="F72" s="345"/>
    </row>
    <row r="73" spans="1:6" s="12" customFormat="1" ht="165">
      <c r="A73" s="435">
        <f>SUM(A68:A72) +1</f>
        <v>5</v>
      </c>
      <c r="B73" s="6" t="s">
        <v>2925</v>
      </c>
      <c r="C73" s="344"/>
      <c r="D73" s="344" t="s">
        <v>34</v>
      </c>
      <c r="E73" s="345"/>
      <c r="F73" s="345"/>
    </row>
    <row r="74" spans="1:6" s="12" customFormat="1">
      <c r="A74" s="435"/>
      <c r="B74" s="511" t="s">
        <v>2926</v>
      </c>
      <c r="C74" s="344" t="s">
        <v>280</v>
      </c>
      <c r="D74" s="344">
        <v>3</v>
      </c>
      <c r="E74" s="345"/>
      <c r="F74" s="345"/>
    </row>
    <row r="75" spans="1:6" s="12" customFormat="1">
      <c r="A75" s="435"/>
      <c r="B75" s="6"/>
      <c r="C75" s="344"/>
      <c r="D75" s="344" t="s">
        <v>34</v>
      </c>
      <c r="E75" s="345"/>
      <c r="F75" s="345"/>
    </row>
    <row r="76" spans="1:6" s="12" customFormat="1" ht="60">
      <c r="A76" s="435">
        <f>SUM(A73:A75) +1</f>
        <v>6</v>
      </c>
      <c r="B76" s="6" t="s">
        <v>2927</v>
      </c>
      <c r="C76" s="344"/>
      <c r="D76" s="344" t="s">
        <v>34</v>
      </c>
      <c r="E76" s="345"/>
      <c r="F76" s="345"/>
    </row>
    <row r="77" spans="1:6" s="12" customFormat="1">
      <c r="A77" s="435"/>
      <c r="B77" s="6" t="s">
        <v>2928</v>
      </c>
      <c r="C77" s="296" t="s">
        <v>18</v>
      </c>
      <c r="D77" s="296">
        <v>1</v>
      </c>
      <c r="E77" s="345"/>
      <c r="F77" s="345"/>
    </row>
    <row r="78" spans="1:6" s="12" customFormat="1">
      <c r="A78" s="435"/>
      <c r="B78" s="6"/>
      <c r="C78" s="344"/>
      <c r="D78" s="344" t="s">
        <v>34</v>
      </c>
      <c r="E78" s="345"/>
      <c r="F78" s="345"/>
    </row>
    <row r="79" spans="1:6" s="12" customFormat="1" ht="45">
      <c r="A79" s="435">
        <f>SUM(A76:A78) +1</f>
        <v>7</v>
      </c>
      <c r="B79" s="6" t="s">
        <v>2929</v>
      </c>
      <c r="C79" s="344"/>
      <c r="D79" s="344" t="s">
        <v>34</v>
      </c>
      <c r="E79" s="345"/>
      <c r="F79" s="345"/>
    </row>
    <row r="80" spans="1:6" s="12" customFormat="1">
      <c r="A80" s="435"/>
      <c r="B80" s="511" t="s">
        <v>2930</v>
      </c>
      <c r="C80" s="344" t="s">
        <v>18</v>
      </c>
      <c r="D80" s="344">
        <v>1</v>
      </c>
      <c r="E80" s="345"/>
      <c r="F80" s="345"/>
    </row>
    <row r="81" spans="1:6" s="12" customFormat="1">
      <c r="A81" s="435"/>
      <c r="B81" s="6"/>
      <c r="C81" s="344"/>
      <c r="D81" s="344" t="s">
        <v>34</v>
      </c>
      <c r="E81" s="345"/>
      <c r="F81" s="345"/>
    </row>
    <row r="82" spans="1:6" s="12" customFormat="1" ht="45">
      <c r="A82" s="435">
        <f>SUM(A79:A81) +1</f>
        <v>8</v>
      </c>
      <c r="B82" s="446" t="s">
        <v>2931</v>
      </c>
      <c r="C82" s="344"/>
      <c r="D82" s="344" t="s">
        <v>34</v>
      </c>
      <c r="E82" s="345"/>
      <c r="F82" s="345"/>
    </row>
    <row r="83" spans="1:6" s="12" customFormat="1">
      <c r="A83" s="435"/>
      <c r="B83" s="511" t="s">
        <v>2932</v>
      </c>
      <c r="C83" s="344" t="s">
        <v>76</v>
      </c>
      <c r="D83" s="344">
        <v>1</v>
      </c>
      <c r="E83" s="345"/>
      <c r="F83" s="345"/>
    </row>
    <row r="84" spans="1:6" s="12" customFormat="1">
      <c r="A84" s="435"/>
      <c r="B84" s="6"/>
      <c r="C84" s="344"/>
      <c r="D84" s="344" t="s">
        <v>34</v>
      </c>
      <c r="E84" s="345"/>
      <c r="F84" s="345"/>
    </row>
    <row r="85" spans="1:6" s="12" customFormat="1" ht="45">
      <c r="A85" s="435">
        <f>SUM(A82:A84) +1</f>
        <v>9</v>
      </c>
      <c r="B85" s="6" t="s">
        <v>2933</v>
      </c>
      <c r="C85" s="344" t="s">
        <v>3394</v>
      </c>
      <c r="D85" s="344">
        <v>1</v>
      </c>
      <c r="E85" s="345"/>
      <c r="F85" s="345"/>
    </row>
    <row r="86" spans="1:6" s="12" customFormat="1">
      <c r="A86" s="435"/>
      <c r="B86" s="6"/>
      <c r="C86" s="344"/>
      <c r="D86" s="344" t="s">
        <v>34</v>
      </c>
      <c r="E86" s="345"/>
      <c r="F86" s="345"/>
    </row>
    <row r="87" spans="1:6" s="12" customFormat="1" ht="30">
      <c r="A87" s="435">
        <f>SUM(A84:A86) +1</f>
        <v>10</v>
      </c>
      <c r="B87" s="6" t="s">
        <v>2934</v>
      </c>
      <c r="C87" s="344" t="s">
        <v>76</v>
      </c>
      <c r="D87" s="344">
        <v>1</v>
      </c>
      <c r="E87" s="345"/>
      <c r="F87" s="345"/>
    </row>
    <row r="88" spans="1:6" s="12" customFormat="1">
      <c r="A88" s="435"/>
      <c r="B88" s="6"/>
      <c r="C88" s="344"/>
      <c r="D88" s="344" t="s">
        <v>34</v>
      </c>
      <c r="E88" s="345"/>
      <c r="F88" s="345"/>
    </row>
    <row r="89" spans="1:6" s="12" customFormat="1" ht="30">
      <c r="A89" s="435">
        <f>SUM(A86:A88) +1</f>
        <v>11</v>
      </c>
      <c r="B89" s="6" t="s">
        <v>2935</v>
      </c>
      <c r="C89" s="344" t="s">
        <v>76</v>
      </c>
      <c r="D89" s="344">
        <v>1</v>
      </c>
      <c r="E89" s="345"/>
      <c r="F89" s="345"/>
    </row>
    <row r="90" spans="1:6" s="12" customFormat="1">
      <c r="A90" s="435"/>
      <c r="B90" s="6"/>
      <c r="C90" s="344"/>
      <c r="D90" s="344" t="s">
        <v>34</v>
      </c>
      <c r="E90" s="345"/>
      <c r="F90" s="345"/>
    </row>
    <row r="91" spans="1:6" s="12" customFormat="1" ht="30">
      <c r="A91" s="435">
        <f>SUM(A88:A90) +1</f>
        <v>12</v>
      </c>
      <c r="B91" s="6" t="s">
        <v>2936</v>
      </c>
      <c r="C91" s="344" t="s">
        <v>76</v>
      </c>
      <c r="D91" s="344">
        <v>1</v>
      </c>
      <c r="E91" s="345"/>
      <c r="F91" s="345"/>
    </row>
    <row r="92" spans="1:6" s="12" customFormat="1">
      <c r="A92" s="435"/>
      <c r="B92" s="6"/>
      <c r="C92" s="344"/>
      <c r="D92" s="344" t="s">
        <v>34</v>
      </c>
      <c r="E92" s="345"/>
      <c r="F92" s="345"/>
    </row>
    <row r="93" spans="1:6" s="12" customFormat="1" ht="30">
      <c r="A93" s="435">
        <f>SUM(A90:A92) +1</f>
        <v>13</v>
      </c>
      <c r="B93" s="6" t="s">
        <v>2937</v>
      </c>
      <c r="C93" s="344" t="s">
        <v>76</v>
      </c>
      <c r="D93" s="344">
        <v>1</v>
      </c>
      <c r="E93" s="345"/>
      <c r="F93" s="345"/>
    </row>
    <row r="94" spans="1:6" s="12" customFormat="1">
      <c r="A94" s="435"/>
      <c r="B94" s="6"/>
      <c r="C94" s="296"/>
      <c r="D94" s="296"/>
      <c r="E94" s="426"/>
      <c r="F94" s="426"/>
    </row>
    <row r="95" spans="1:6" s="12" customFormat="1" ht="30">
      <c r="A95" s="435">
        <f>SUM(A92:A94) +1</f>
        <v>14</v>
      </c>
      <c r="B95" s="6" t="s">
        <v>2938</v>
      </c>
      <c r="C95" s="344" t="s">
        <v>76</v>
      </c>
      <c r="D95" s="344">
        <v>1</v>
      </c>
      <c r="E95" s="345"/>
      <c r="F95" s="345"/>
    </row>
    <row r="96" spans="1:6" s="12" customFormat="1">
      <c r="A96" s="465"/>
      <c r="B96" s="446"/>
      <c r="C96" s="344"/>
      <c r="D96" s="344" t="s">
        <v>34</v>
      </c>
      <c r="E96" s="518"/>
      <c r="F96" s="345"/>
    </row>
    <row r="97" spans="1:6" s="12" customFormat="1">
      <c r="A97" s="465" t="s">
        <v>2913</v>
      </c>
      <c r="B97" s="582" t="s">
        <v>3367</v>
      </c>
      <c r="C97" s="583"/>
      <c r="D97" s="510" t="s">
        <v>34</v>
      </c>
      <c r="E97" s="584"/>
      <c r="F97" s="581"/>
    </row>
    <row r="98" spans="1:6" s="12" customFormat="1">
      <c r="A98" s="465"/>
      <c r="B98" s="342"/>
      <c r="C98" s="296"/>
      <c r="D98" s="296"/>
      <c r="E98" s="296"/>
      <c r="F98" s="296"/>
    </row>
    <row r="99" spans="1:6" s="12" customFormat="1">
      <c r="A99" s="465"/>
      <c r="B99" s="342"/>
      <c r="C99" s="296"/>
      <c r="D99" s="296"/>
      <c r="E99" s="296"/>
      <c r="F99" s="296"/>
    </row>
    <row r="100" spans="1:6" s="12" customFormat="1">
      <c r="A100" s="465"/>
      <c r="B100" s="21"/>
      <c r="C100" s="296"/>
      <c r="D100" s="296"/>
      <c r="E100" s="296"/>
      <c r="F100" s="296"/>
    </row>
    <row r="101" spans="1:6" s="12" customFormat="1">
      <c r="A101" s="435"/>
      <c r="B101" s="299"/>
      <c r="C101" s="296"/>
      <c r="D101" s="296"/>
      <c r="E101" s="426"/>
      <c r="F101" s="426"/>
    </row>
    <row r="102" spans="1:6" s="567" customFormat="1">
      <c r="A102" s="500" t="s">
        <v>807</v>
      </c>
      <c r="B102" s="425" t="s">
        <v>2939</v>
      </c>
      <c r="C102" s="436"/>
      <c r="D102" s="436"/>
      <c r="E102" s="569"/>
      <c r="F102" s="569"/>
    </row>
    <row r="103" spans="1:6" s="12" customFormat="1">
      <c r="A103" s="500"/>
      <c r="B103" s="299"/>
      <c r="C103" s="296"/>
      <c r="D103" s="296"/>
      <c r="E103" s="426"/>
      <c r="F103" s="426"/>
    </row>
    <row r="104" spans="1:6" s="12" customFormat="1" ht="105">
      <c r="A104" s="435">
        <v>1</v>
      </c>
      <c r="B104" s="6" t="s">
        <v>2940</v>
      </c>
      <c r="C104" s="344"/>
      <c r="D104" s="344" t="s">
        <v>34</v>
      </c>
      <c r="E104" s="345"/>
      <c r="F104" s="345"/>
    </row>
    <row r="105" spans="1:6" s="12" customFormat="1">
      <c r="A105" s="435"/>
      <c r="B105" s="511" t="s">
        <v>2941</v>
      </c>
      <c r="C105" s="344" t="s">
        <v>280</v>
      </c>
      <c r="D105" s="344">
        <v>1</v>
      </c>
      <c r="E105" s="345"/>
      <c r="F105" s="345"/>
    </row>
    <row r="106" spans="1:6" s="12" customFormat="1">
      <c r="A106" s="435"/>
      <c r="B106" s="6"/>
      <c r="C106" s="344"/>
      <c r="D106" s="344" t="s">
        <v>34</v>
      </c>
      <c r="E106" s="345"/>
      <c r="F106" s="345"/>
    </row>
    <row r="107" spans="1:6" s="12" customFormat="1" ht="150">
      <c r="A107" s="435">
        <f>SUM(A104:A106) +1</f>
        <v>2</v>
      </c>
      <c r="B107" s="6" t="s">
        <v>2942</v>
      </c>
      <c r="C107" s="344"/>
      <c r="D107" s="344"/>
      <c r="E107" s="345"/>
      <c r="F107" s="345"/>
    </row>
    <row r="108" spans="1:6" s="12" customFormat="1">
      <c r="A108" s="435"/>
      <c r="B108" s="511" t="s">
        <v>2941</v>
      </c>
      <c r="C108" s="344" t="s">
        <v>280</v>
      </c>
      <c r="D108" s="344">
        <v>26</v>
      </c>
      <c r="E108" s="345"/>
      <c r="F108" s="345"/>
    </row>
    <row r="109" spans="1:6" s="12" customFormat="1">
      <c r="A109" s="435"/>
      <c r="B109" s="6"/>
      <c r="C109" s="344"/>
      <c r="D109" s="344" t="s">
        <v>34</v>
      </c>
      <c r="E109" s="345"/>
      <c r="F109" s="345"/>
    </row>
    <row r="110" spans="1:6" s="12" customFormat="1" ht="45">
      <c r="A110" s="435">
        <v>3</v>
      </c>
      <c r="B110" s="6" t="s">
        <v>2943</v>
      </c>
      <c r="C110" s="344"/>
      <c r="D110" s="344" t="s">
        <v>34</v>
      </c>
      <c r="E110" s="345"/>
      <c r="F110" s="345"/>
    </row>
    <row r="111" spans="1:6" s="12" customFormat="1">
      <c r="A111" s="435"/>
      <c r="B111" s="511" t="s">
        <v>2944</v>
      </c>
      <c r="C111" s="344" t="s">
        <v>18</v>
      </c>
      <c r="D111" s="344">
        <v>1</v>
      </c>
      <c r="E111" s="345"/>
      <c r="F111" s="345"/>
    </row>
    <row r="112" spans="1:6" s="12" customFormat="1">
      <c r="A112" s="435"/>
      <c r="B112" s="6"/>
      <c r="C112" s="344"/>
      <c r="D112" s="344" t="s">
        <v>34</v>
      </c>
      <c r="E112" s="345"/>
      <c r="F112" s="345"/>
    </row>
    <row r="113" spans="1:6" s="12" customFormat="1" ht="75">
      <c r="A113" s="435">
        <f>SUM(A109:A112) +1</f>
        <v>4</v>
      </c>
      <c r="B113" s="446" t="s">
        <v>2945</v>
      </c>
      <c r="C113" s="344"/>
      <c r="D113" s="344" t="s">
        <v>34</v>
      </c>
      <c r="E113" s="518"/>
      <c r="F113" s="345"/>
    </row>
    <row r="114" spans="1:6" s="12" customFormat="1" ht="18">
      <c r="A114" s="232"/>
      <c r="B114" s="511" t="s">
        <v>3395</v>
      </c>
      <c r="C114" s="344"/>
      <c r="D114" s="344" t="s">
        <v>34</v>
      </c>
      <c r="E114" s="518"/>
      <c r="F114" s="345"/>
    </row>
    <row r="115" spans="1:6" s="12" customFormat="1" ht="18">
      <c r="A115" s="232"/>
      <c r="B115" s="511" t="s">
        <v>3396</v>
      </c>
      <c r="C115" s="344"/>
      <c r="D115" s="344" t="s">
        <v>34</v>
      </c>
      <c r="E115" s="518"/>
      <c r="F115" s="345"/>
    </row>
    <row r="116" spans="1:6" s="12" customFormat="1" ht="18.75">
      <c r="A116" s="232"/>
      <c r="B116" s="511" t="s">
        <v>3397</v>
      </c>
      <c r="C116" s="344"/>
      <c r="D116" s="344" t="s">
        <v>34</v>
      </c>
      <c r="E116" s="518"/>
      <c r="F116" s="345"/>
    </row>
    <row r="117" spans="1:6" s="12" customFormat="1">
      <c r="A117" s="232"/>
      <c r="B117" s="511" t="s">
        <v>2930</v>
      </c>
      <c r="C117" s="344" t="s">
        <v>18</v>
      </c>
      <c r="D117" s="344">
        <v>1</v>
      </c>
      <c r="E117" s="518"/>
      <c r="F117" s="345"/>
    </row>
    <row r="118" spans="1:6" s="12" customFormat="1">
      <c r="A118" s="232"/>
      <c r="B118" s="446"/>
      <c r="C118" s="344"/>
      <c r="D118" s="344" t="s">
        <v>34</v>
      </c>
      <c r="E118" s="518"/>
      <c r="F118" s="345"/>
    </row>
    <row r="119" spans="1:6" s="12" customFormat="1" ht="60">
      <c r="A119" s="435">
        <v>5</v>
      </c>
      <c r="B119" s="6" t="s">
        <v>2946</v>
      </c>
      <c r="C119" s="344"/>
      <c r="D119" s="344" t="s">
        <v>34</v>
      </c>
      <c r="E119" s="345"/>
      <c r="F119" s="345"/>
    </row>
    <row r="120" spans="1:6" s="12" customFormat="1" ht="18.75">
      <c r="A120" s="435"/>
      <c r="B120" s="511" t="s">
        <v>3398</v>
      </c>
      <c r="C120" s="344"/>
      <c r="D120" s="344" t="s">
        <v>34</v>
      </c>
      <c r="E120" s="345"/>
      <c r="F120" s="345"/>
    </row>
    <row r="121" spans="1:6" s="12" customFormat="1" ht="18.75">
      <c r="A121" s="435"/>
      <c r="B121" s="511" t="s">
        <v>3399</v>
      </c>
      <c r="C121" s="344"/>
      <c r="D121" s="344" t="s">
        <v>34</v>
      </c>
      <c r="E121" s="345"/>
      <c r="F121" s="345"/>
    </row>
    <row r="122" spans="1:6" s="12" customFormat="1" ht="18.75">
      <c r="A122" s="435"/>
      <c r="B122" s="511" t="s">
        <v>3400</v>
      </c>
      <c r="C122" s="344"/>
      <c r="D122" s="344" t="s">
        <v>34</v>
      </c>
      <c r="E122" s="345"/>
      <c r="F122" s="345"/>
    </row>
    <row r="123" spans="1:6" s="12" customFormat="1" ht="45">
      <c r="A123" s="435"/>
      <c r="B123" s="511" t="s">
        <v>2947</v>
      </c>
      <c r="C123" s="344" t="s">
        <v>18</v>
      </c>
      <c r="D123" s="344">
        <v>1</v>
      </c>
      <c r="E123" s="345"/>
      <c r="F123" s="345"/>
    </row>
    <row r="124" spans="1:6" s="12" customFormat="1">
      <c r="A124" s="435"/>
      <c r="B124" s="6"/>
      <c r="C124" s="344"/>
      <c r="D124" s="344" t="s">
        <v>34</v>
      </c>
      <c r="E124" s="345"/>
      <c r="F124" s="345"/>
    </row>
    <row r="125" spans="1:6" s="12" customFormat="1" ht="45">
      <c r="A125" s="435">
        <v>6</v>
      </c>
      <c r="B125" s="6" t="s">
        <v>2948</v>
      </c>
      <c r="C125" s="344"/>
      <c r="D125" s="344" t="s">
        <v>34</v>
      </c>
      <c r="E125" s="345"/>
      <c r="F125" s="345"/>
    </row>
    <row r="126" spans="1:6" s="12" customFormat="1">
      <c r="A126" s="435"/>
      <c r="B126" s="511" t="s">
        <v>2949</v>
      </c>
      <c r="C126" s="344" t="s">
        <v>18</v>
      </c>
      <c r="D126" s="344">
        <v>3</v>
      </c>
      <c r="E126" s="345"/>
      <c r="F126" s="345"/>
    </row>
    <row r="127" spans="1:6" s="12" customFormat="1">
      <c r="A127" s="435"/>
      <c r="B127" s="6"/>
      <c r="C127" s="344"/>
      <c r="D127" s="344" t="s">
        <v>34</v>
      </c>
      <c r="E127" s="345"/>
      <c r="F127" s="345"/>
    </row>
    <row r="128" spans="1:6" s="12" customFormat="1" ht="45">
      <c r="A128" s="435">
        <v>7</v>
      </c>
      <c r="B128" s="6" t="s">
        <v>2933</v>
      </c>
      <c r="C128" s="344" t="s">
        <v>3394</v>
      </c>
      <c r="D128" s="571">
        <v>4</v>
      </c>
      <c r="E128" s="345"/>
      <c r="F128" s="345"/>
    </row>
    <row r="129" spans="1:6" s="12" customFormat="1">
      <c r="A129" s="435"/>
      <c r="B129" s="6"/>
      <c r="C129" s="344"/>
      <c r="D129" s="344" t="s">
        <v>34</v>
      </c>
      <c r="E129" s="345"/>
      <c r="F129" s="345"/>
    </row>
    <row r="130" spans="1:6" s="12" customFormat="1" ht="45">
      <c r="A130" s="435">
        <f>SUM(A127:A129) +1</f>
        <v>8</v>
      </c>
      <c r="B130" s="6" t="s">
        <v>2950</v>
      </c>
      <c r="C130" s="344" t="s">
        <v>76</v>
      </c>
      <c r="D130" s="344">
        <v>1</v>
      </c>
      <c r="E130" s="345"/>
      <c r="F130" s="345"/>
    </row>
    <row r="131" spans="1:6" s="12" customFormat="1">
      <c r="A131" s="435"/>
      <c r="B131" s="6"/>
      <c r="C131" s="344"/>
      <c r="D131" s="344" t="s">
        <v>34</v>
      </c>
      <c r="E131" s="501"/>
      <c r="F131" s="345"/>
    </row>
    <row r="132" spans="1:6" s="12" customFormat="1" ht="30">
      <c r="A132" s="435">
        <f>SUM(A129:A131) +1</f>
        <v>9</v>
      </c>
      <c r="B132" s="6" t="s">
        <v>2935</v>
      </c>
      <c r="C132" s="344" t="s">
        <v>76</v>
      </c>
      <c r="D132" s="344">
        <v>1</v>
      </c>
      <c r="E132" s="345"/>
      <c r="F132" s="345"/>
    </row>
    <row r="133" spans="1:6" s="12" customFormat="1">
      <c r="A133" s="435"/>
      <c r="B133" s="6"/>
      <c r="C133" s="344"/>
      <c r="D133" s="344" t="s">
        <v>34</v>
      </c>
      <c r="E133" s="501"/>
      <c r="F133" s="345"/>
    </row>
    <row r="134" spans="1:6" s="12" customFormat="1" ht="30">
      <c r="A134" s="435">
        <f>SUM(A131:A133) +1</f>
        <v>10</v>
      </c>
      <c r="B134" s="6" t="s">
        <v>2936</v>
      </c>
      <c r="C134" s="344" t="s">
        <v>76</v>
      </c>
      <c r="D134" s="344">
        <v>1</v>
      </c>
      <c r="E134" s="345"/>
      <c r="F134" s="345"/>
    </row>
    <row r="135" spans="1:6" s="12" customFormat="1">
      <c r="A135" s="435"/>
      <c r="B135" s="6"/>
      <c r="C135" s="344"/>
      <c r="D135" s="344" t="s">
        <v>34</v>
      </c>
      <c r="E135" s="501"/>
      <c r="F135" s="345"/>
    </row>
    <row r="136" spans="1:6" s="12" customFormat="1" ht="30">
      <c r="A136" s="435">
        <f>SUM(A133:A135) +1</f>
        <v>11</v>
      </c>
      <c r="B136" s="6" t="s">
        <v>2937</v>
      </c>
      <c r="C136" s="344" t="s">
        <v>76</v>
      </c>
      <c r="D136" s="344">
        <v>1</v>
      </c>
      <c r="E136" s="345"/>
      <c r="F136" s="345"/>
    </row>
    <row r="137" spans="1:6" s="12" customFormat="1">
      <c r="A137" s="435"/>
      <c r="B137" s="6"/>
      <c r="C137" s="296"/>
      <c r="D137" s="296"/>
      <c r="E137" s="501"/>
      <c r="F137" s="297"/>
    </row>
    <row r="138" spans="1:6" s="12" customFormat="1" ht="30">
      <c r="A138" s="435">
        <f>SUM(A135:A137) +1</f>
        <v>12</v>
      </c>
      <c r="B138" s="6" t="s">
        <v>2938</v>
      </c>
      <c r="C138" s="344" t="s">
        <v>76</v>
      </c>
      <c r="D138" s="344">
        <v>1</v>
      </c>
      <c r="E138" s="345"/>
      <c r="F138" s="345"/>
    </row>
    <row r="139" spans="1:6" s="12" customFormat="1">
      <c r="A139" s="435"/>
      <c r="B139" s="6"/>
      <c r="C139" s="344"/>
      <c r="D139" s="344"/>
      <c r="E139" s="345"/>
      <c r="F139" s="345"/>
    </row>
    <row r="140" spans="1:6" s="12" customFormat="1">
      <c r="A140" s="465" t="s">
        <v>807</v>
      </c>
      <c r="B140" s="521" t="s">
        <v>3367</v>
      </c>
      <c r="C140" s="579"/>
      <c r="D140" s="510" t="s">
        <v>34</v>
      </c>
      <c r="E140" s="580"/>
      <c r="F140" s="581"/>
    </row>
    <row r="141" spans="1:6" s="12" customFormat="1">
      <c r="A141" s="435"/>
      <c r="B141" s="299"/>
      <c r="C141" s="296"/>
      <c r="D141" s="296"/>
      <c r="E141" s="297"/>
      <c r="F141" s="297"/>
    </row>
    <row r="142" spans="1:6" s="12" customFormat="1">
      <c r="A142" s="465"/>
      <c r="B142" s="21"/>
      <c r="C142" s="296"/>
      <c r="D142" s="296"/>
      <c r="E142" s="296"/>
      <c r="F142" s="296"/>
    </row>
    <row r="143" spans="1:6" s="12" customFormat="1">
      <c r="A143" s="465"/>
      <c r="B143" s="342"/>
      <c r="C143" s="296"/>
      <c r="D143" s="296"/>
      <c r="E143" s="296"/>
      <c r="F143" s="296"/>
    </row>
    <row r="144" spans="1:6" s="12" customFormat="1">
      <c r="A144" s="465"/>
      <c r="B144" s="342"/>
      <c r="E144" s="306"/>
    </row>
    <row r="145" spans="1:6" s="12" customFormat="1">
      <c r="A145" s="435"/>
      <c r="B145" s="299"/>
      <c r="C145" s="296"/>
      <c r="D145" s="296"/>
      <c r="E145" s="426"/>
      <c r="F145" s="426"/>
    </row>
    <row r="146" spans="1:6" s="567" customFormat="1">
      <c r="A146" s="500" t="s">
        <v>2797</v>
      </c>
      <c r="B146" s="425" t="s">
        <v>2951</v>
      </c>
      <c r="C146" s="436"/>
      <c r="D146" s="436"/>
      <c r="E146" s="569"/>
      <c r="F146" s="569"/>
    </row>
    <row r="147" spans="1:6" s="12" customFormat="1">
      <c r="A147" s="435"/>
      <c r="B147" s="299"/>
      <c r="C147" s="296"/>
      <c r="D147" s="296"/>
      <c r="E147" s="426"/>
      <c r="F147" s="426"/>
    </row>
    <row r="148" spans="1:6" s="12" customFormat="1" ht="105">
      <c r="A148" s="435">
        <f>SUM(A146:A147) +1</f>
        <v>1</v>
      </c>
      <c r="B148" s="6" t="s">
        <v>2940</v>
      </c>
      <c r="C148" s="344"/>
      <c r="D148" s="344" t="s">
        <v>34</v>
      </c>
      <c r="E148" s="345"/>
      <c r="F148" s="345"/>
    </row>
    <row r="149" spans="1:6" s="12" customFormat="1">
      <c r="A149" s="435"/>
      <c r="B149" s="511" t="s">
        <v>2941</v>
      </c>
      <c r="C149" s="344" t="s">
        <v>280</v>
      </c>
      <c r="D149" s="344">
        <v>16</v>
      </c>
      <c r="E149" s="345"/>
      <c r="F149" s="345"/>
    </row>
    <row r="150" spans="1:6" s="12" customFormat="1">
      <c r="A150" s="435"/>
      <c r="B150" s="6"/>
      <c r="C150" s="344"/>
      <c r="D150" s="344" t="s">
        <v>34</v>
      </c>
      <c r="E150" s="345"/>
      <c r="F150" s="345"/>
    </row>
    <row r="151" spans="1:6" s="12" customFormat="1" ht="150">
      <c r="A151" s="435">
        <f>SUM(A148:A150) +1</f>
        <v>2</v>
      </c>
      <c r="B151" s="6" t="s">
        <v>2942</v>
      </c>
      <c r="C151" s="344"/>
      <c r="D151" s="344"/>
      <c r="E151" s="345"/>
      <c r="F151" s="345"/>
    </row>
    <row r="152" spans="1:6" s="12" customFormat="1">
      <c r="A152" s="435"/>
      <c r="B152" s="511" t="s">
        <v>2941</v>
      </c>
      <c r="C152" s="344" t="s">
        <v>280</v>
      </c>
      <c r="D152" s="344">
        <v>60</v>
      </c>
      <c r="E152" s="345"/>
      <c r="F152" s="345"/>
    </row>
    <row r="153" spans="1:6" s="12" customFormat="1">
      <c r="A153" s="435"/>
      <c r="B153" s="6"/>
      <c r="C153" s="344"/>
      <c r="D153" s="344" t="s">
        <v>34</v>
      </c>
      <c r="E153" s="345"/>
      <c r="F153" s="345"/>
    </row>
    <row r="154" spans="1:6" s="12" customFormat="1" ht="45">
      <c r="A154" s="435">
        <v>2</v>
      </c>
      <c r="B154" s="6" t="s">
        <v>2952</v>
      </c>
      <c r="C154" s="344"/>
      <c r="D154" s="344" t="s">
        <v>34</v>
      </c>
      <c r="E154" s="345"/>
      <c r="F154" s="345"/>
    </row>
    <row r="155" spans="1:6" s="12" customFormat="1">
      <c r="A155" s="435"/>
      <c r="B155" s="511" t="s">
        <v>2944</v>
      </c>
      <c r="C155" s="344" t="s">
        <v>18</v>
      </c>
      <c r="D155" s="344">
        <v>2</v>
      </c>
      <c r="E155" s="345"/>
      <c r="F155" s="345"/>
    </row>
    <row r="156" spans="1:6" s="12" customFormat="1">
      <c r="A156" s="435"/>
      <c r="B156" s="6"/>
      <c r="C156" s="344"/>
      <c r="D156" s="344" t="s">
        <v>34</v>
      </c>
      <c r="E156" s="345"/>
      <c r="F156" s="345"/>
    </row>
    <row r="157" spans="1:6" s="12" customFormat="1" ht="45">
      <c r="A157" s="435">
        <v>3</v>
      </c>
      <c r="B157" s="6" t="s">
        <v>2953</v>
      </c>
      <c r="C157" s="344"/>
      <c r="D157" s="344" t="s">
        <v>34</v>
      </c>
      <c r="E157" s="345"/>
      <c r="F157" s="345"/>
    </row>
    <row r="158" spans="1:6" s="12" customFormat="1">
      <c r="A158" s="435"/>
      <c r="B158" s="511" t="s">
        <v>2949</v>
      </c>
      <c r="C158" s="344" t="s">
        <v>18</v>
      </c>
      <c r="D158" s="344">
        <v>12</v>
      </c>
      <c r="E158" s="345"/>
      <c r="F158" s="345"/>
    </row>
    <row r="159" spans="1:6" s="12" customFormat="1">
      <c r="A159" s="435"/>
      <c r="B159" s="6"/>
      <c r="C159" s="344"/>
      <c r="D159" s="344" t="s">
        <v>34</v>
      </c>
      <c r="E159" s="345"/>
      <c r="F159" s="345"/>
    </row>
    <row r="160" spans="1:6" s="12" customFormat="1" ht="30">
      <c r="A160" s="435">
        <v>4</v>
      </c>
      <c r="B160" s="6" t="s">
        <v>2954</v>
      </c>
      <c r="C160" s="344"/>
      <c r="D160" s="344" t="s">
        <v>34</v>
      </c>
      <c r="E160" s="345"/>
      <c r="F160" s="345"/>
    </row>
    <row r="161" spans="1:6" s="12" customFormat="1">
      <c r="A161" s="435"/>
      <c r="B161" s="511" t="s">
        <v>2949</v>
      </c>
      <c r="C161" s="344" t="s">
        <v>18</v>
      </c>
      <c r="D161" s="344">
        <v>4</v>
      </c>
      <c r="E161" s="345"/>
      <c r="F161" s="345"/>
    </row>
    <row r="162" spans="1:6" s="12" customFormat="1">
      <c r="A162" s="435"/>
      <c r="B162" s="6"/>
      <c r="C162" s="344"/>
      <c r="D162" s="344" t="s">
        <v>34</v>
      </c>
      <c r="E162" s="345"/>
      <c r="F162" s="345"/>
    </row>
    <row r="163" spans="1:6" s="12" customFormat="1" ht="45">
      <c r="A163" s="435">
        <v>5</v>
      </c>
      <c r="B163" s="6" t="s">
        <v>2933</v>
      </c>
      <c r="C163" s="344" t="s">
        <v>3394</v>
      </c>
      <c r="D163" s="571">
        <v>11</v>
      </c>
      <c r="E163" s="345"/>
      <c r="F163" s="345"/>
    </row>
    <row r="164" spans="1:6" s="12" customFormat="1">
      <c r="A164" s="435"/>
      <c r="B164" s="6"/>
      <c r="C164" s="344"/>
      <c r="D164" s="344" t="s">
        <v>34</v>
      </c>
      <c r="E164" s="345"/>
      <c r="F164" s="345"/>
    </row>
    <row r="165" spans="1:6" s="12" customFormat="1" ht="45">
      <c r="A165" s="435">
        <v>6</v>
      </c>
      <c r="B165" s="6" t="s">
        <v>2955</v>
      </c>
      <c r="C165" s="344" t="s">
        <v>76</v>
      </c>
      <c r="D165" s="344">
        <v>1</v>
      </c>
      <c r="E165" s="345"/>
      <c r="F165" s="345"/>
    </row>
    <row r="166" spans="1:6" s="12" customFormat="1">
      <c r="A166" s="435"/>
      <c r="B166" s="6"/>
      <c r="C166" s="344"/>
      <c r="D166" s="344" t="s">
        <v>34</v>
      </c>
      <c r="E166" s="345"/>
      <c r="F166" s="345"/>
    </row>
    <row r="167" spans="1:6" s="12" customFormat="1" ht="30">
      <c r="A167" s="435">
        <f>SUM(A164:A166) +1</f>
        <v>7</v>
      </c>
      <c r="B167" s="6" t="s">
        <v>2936</v>
      </c>
      <c r="C167" s="344" t="s">
        <v>76</v>
      </c>
      <c r="D167" s="344">
        <v>1</v>
      </c>
      <c r="E167" s="345"/>
      <c r="F167" s="345"/>
    </row>
    <row r="168" spans="1:6" s="12" customFormat="1">
      <c r="A168" s="435"/>
      <c r="B168" s="6"/>
      <c r="C168" s="344"/>
      <c r="D168" s="344" t="s">
        <v>34</v>
      </c>
      <c r="E168" s="345"/>
      <c r="F168" s="345"/>
    </row>
    <row r="169" spans="1:6" s="12" customFormat="1" ht="30">
      <c r="A169" s="435">
        <f>SUM(A166:A168) +1</f>
        <v>8</v>
      </c>
      <c r="B169" s="6" t="s">
        <v>2937</v>
      </c>
      <c r="C169" s="344" t="s">
        <v>76</v>
      </c>
      <c r="D169" s="344">
        <v>1</v>
      </c>
      <c r="E169" s="345"/>
      <c r="F169" s="345"/>
    </row>
    <row r="170" spans="1:6" s="12" customFormat="1">
      <c r="A170" s="435"/>
      <c r="B170" s="6"/>
      <c r="C170" s="344"/>
      <c r="D170" s="344" t="s">
        <v>34</v>
      </c>
      <c r="E170" s="345"/>
      <c r="F170" s="345"/>
    </row>
    <row r="171" spans="1:6" s="12" customFormat="1" ht="30">
      <c r="A171" s="435">
        <f>SUM(A168:A170) +1</f>
        <v>9</v>
      </c>
      <c r="B171" s="6" t="s">
        <v>2938</v>
      </c>
      <c r="C171" s="344" t="s">
        <v>76</v>
      </c>
      <c r="D171" s="344">
        <v>1</v>
      </c>
      <c r="E171" s="345"/>
      <c r="F171" s="345"/>
    </row>
    <row r="172" spans="1:6" s="12" customFormat="1">
      <c r="A172" s="435"/>
      <c r="B172" s="6"/>
      <c r="C172" s="344"/>
      <c r="D172" s="344" t="s">
        <v>34</v>
      </c>
      <c r="E172" s="345"/>
      <c r="F172" s="345"/>
    </row>
    <row r="173" spans="1:6" s="12" customFormat="1">
      <c r="A173" s="465" t="s">
        <v>2797</v>
      </c>
      <c r="B173" s="521" t="s">
        <v>278</v>
      </c>
      <c r="C173" s="510"/>
      <c r="D173" s="510" t="s">
        <v>34</v>
      </c>
      <c r="E173" s="585"/>
      <c r="F173" s="581"/>
    </row>
    <row r="174" spans="1:6" s="12" customFormat="1">
      <c r="A174" s="465"/>
      <c r="B174" s="342"/>
      <c r="E174" s="306"/>
    </row>
    <row r="175" spans="1:6" s="12" customFormat="1">
      <c r="A175" s="465"/>
      <c r="B175" s="342"/>
      <c r="E175" s="306"/>
    </row>
    <row r="176" spans="1:6" s="12" customFormat="1">
      <c r="A176" s="465"/>
      <c r="B176" s="342"/>
      <c r="E176" s="306"/>
    </row>
    <row r="177" spans="1:6" s="12" customFormat="1">
      <c r="A177" s="435"/>
      <c r="B177" s="299"/>
      <c r="C177" s="296"/>
      <c r="D177" s="296"/>
      <c r="E177" s="426"/>
      <c r="F177" s="426"/>
    </row>
    <row r="178" spans="1:6" s="12" customFormat="1">
      <c r="A178" s="586" t="s">
        <v>2849</v>
      </c>
      <c r="B178" s="425" t="s">
        <v>2956</v>
      </c>
      <c r="C178" s="296"/>
      <c r="D178" s="296"/>
      <c r="E178" s="426"/>
      <c r="F178" s="426"/>
    </row>
    <row r="179" spans="1:6" s="12" customFormat="1">
      <c r="A179" s="435"/>
      <c r="B179" s="425"/>
      <c r="C179" s="296"/>
      <c r="D179" s="296"/>
      <c r="E179" s="426"/>
      <c r="F179" s="426"/>
    </row>
    <row r="180" spans="1:6" s="12" customFormat="1" ht="60">
      <c r="A180" s="435">
        <f>SUM([2]E!A176:A177) +1</f>
        <v>1</v>
      </c>
      <c r="B180" s="6" t="s">
        <v>2957</v>
      </c>
      <c r="C180" s="296"/>
      <c r="D180" s="296" t="s">
        <v>34</v>
      </c>
      <c r="E180" s="501"/>
      <c r="F180" s="501"/>
    </row>
    <row r="181" spans="1:6" s="12" customFormat="1" ht="30">
      <c r="A181" s="435"/>
      <c r="B181" s="6" t="s">
        <v>2958</v>
      </c>
      <c r="C181" s="296" t="s">
        <v>18</v>
      </c>
      <c r="D181" s="296">
        <v>2</v>
      </c>
      <c r="E181" s="501"/>
      <c r="F181" s="345"/>
    </row>
    <row r="182" spans="1:6" s="12" customFormat="1">
      <c r="A182" s="435"/>
      <c r="B182" s="6"/>
      <c r="C182" s="296"/>
      <c r="D182" s="296" t="s">
        <v>34</v>
      </c>
      <c r="E182" s="501"/>
      <c r="F182" s="501"/>
    </row>
    <row r="183" spans="1:6" s="12" customFormat="1" ht="60">
      <c r="A183" s="435">
        <f>SUM(A180:A182) +1</f>
        <v>2</v>
      </c>
      <c r="B183" s="6" t="s">
        <v>3401</v>
      </c>
      <c r="C183" s="296"/>
      <c r="D183" s="296" t="s">
        <v>34</v>
      </c>
      <c r="E183" s="501"/>
      <c r="F183" s="501"/>
    </row>
    <row r="184" spans="1:6" s="12" customFormat="1">
      <c r="A184" s="435"/>
      <c r="B184" s="6" t="s">
        <v>2959</v>
      </c>
      <c r="C184" s="296" t="s">
        <v>18</v>
      </c>
      <c r="D184" s="296">
        <v>2</v>
      </c>
      <c r="E184" s="501"/>
      <c r="F184" s="345"/>
    </row>
    <row r="185" spans="1:6" s="12" customFormat="1">
      <c r="A185" s="435"/>
      <c r="B185" s="6" t="s">
        <v>2960</v>
      </c>
      <c r="C185" s="296" t="s">
        <v>18</v>
      </c>
      <c r="D185" s="296">
        <v>2</v>
      </c>
      <c r="E185" s="501"/>
      <c r="F185" s="345"/>
    </row>
    <row r="186" spans="1:6" s="12" customFormat="1">
      <c r="A186" s="435"/>
      <c r="B186" s="6" t="s">
        <v>2961</v>
      </c>
      <c r="C186" s="296" t="s">
        <v>18</v>
      </c>
      <c r="D186" s="296">
        <v>8</v>
      </c>
      <c r="E186" s="501"/>
      <c r="F186" s="345"/>
    </row>
    <row r="187" spans="1:6" s="12" customFormat="1">
      <c r="A187" s="435"/>
      <c r="B187" s="6" t="s">
        <v>2962</v>
      </c>
      <c r="C187" s="296" t="s">
        <v>18</v>
      </c>
      <c r="D187" s="296">
        <v>2</v>
      </c>
      <c r="E187" s="501"/>
      <c r="F187" s="345"/>
    </row>
    <row r="188" spans="1:6" s="12" customFormat="1">
      <c r="A188" s="435"/>
      <c r="B188" s="6" t="s">
        <v>2963</v>
      </c>
      <c r="C188" s="296" t="s">
        <v>18</v>
      </c>
      <c r="D188" s="296">
        <v>2</v>
      </c>
      <c r="E188" s="501"/>
      <c r="F188" s="345"/>
    </row>
    <row r="189" spans="1:6" s="12" customFormat="1">
      <c r="A189" s="435"/>
      <c r="B189" s="6"/>
      <c r="C189" s="296"/>
      <c r="D189" s="296" t="s">
        <v>34</v>
      </c>
      <c r="E189" s="501"/>
      <c r="F189" s="501"/>
    </row>
    <row r="190" spans="1:6" s="12" customFormat="1" ht="60">
      <c r="A190" s="435">
        <v>3</v>
      </c>
      <c r="B190" s="6" t="s">
        <v>2964</v>
      </c>
      <c r="C190" s="344"/>
      <c r="D190" s="344" t="s">
        <v>34</v>
      </c>
      <c r="E190" s="345"/>
      <c r="F190" s="345"/>
    </row>
    <row r="191" spans="1:6" s="12" customFormat="1">
      <c r="A191" s="435"/>
      <c r="B191" s="587" t="s">
        <v>2965</v>
      </c>
      <c r="C191" s="344" t="s">
        <v>18</v>
      </c>
      <c r="D191" s="344">
        <v>2</v>
      </c>
      <c r="E191" s="345"/>
      <c r="F191" s="345"/>
    </row>
    <row r="192" spans="1:6" s="12" customFormat="1">
      <c r="A192" s="435"/>
      <c r="B192" s="6"/>
      <c r="C192" s="296"/>
      <c r="D192" s="296" t="s">
        <v>34</v>
      </c>
      <c r="E192" s="501"/>
      <c r="F192" s="501"/>
    </row>
    <row r="193" spans="1:6" s="12" customFormat="1" ht="60">
      <c r="A193" s="435">
        <f>SUM(A190:A192) +1</f>
        <v>4</v>
      </c>
      <c r="B193" s="6" t="s">
        <v>2966</v>
      </c>
      <c r="C193" s="296" t="s">
        <v>76</v>
      </c>
      <c r="D193" s="296">
        <v>2</v>
      </c>
      <c r="E193" s="501"/>
      <c r="F193" s="345"/>
    </row>
    <row r="194" spans="1:6" s="12" customFormat="1">
      <c r="A194" s="435"/>
      <c r="B194" s="6"/>
      <c r="C194" s="296"/>
      <c r="D194" s="296" t="s">
        <v>34</v>
      </c>
      <c r="E194" s="501"/>
      <c r="F194" s="501"/>
    </row>
    <row r="195" spans="1:6" s="12" customFormat="1" ht="60">
      <c r="A195" s="435">
        <v>5</v>
      </c>
      <c r="B195" s="6" t="s">
        <v>2967</v>
      </c>
      <c r="C195" s="296"/>
      <c r="D195" s="296" t="s">
        <v>34</v>
      </c>
      <c r="E195" s="501"/>
      <c r="F195" s="501"/>
    </row>
    <row r="196" spans="1:6" s="12" customFormat="1">
      <c r="A196" s="435"/>
      <c r="B196" s="6" t="s">
        <v>2968</v>
      </c>
      <c r="C196" s="296" t="s">
        <v>280</v>
      </c>
      <c r="D196" s="296">
        <v>2</v>
      </c>
      <c r="E196" s="501"/>
      <c r="F196" s="345"/>
    </row>
    <row r="197" spans="1:6" s="12" customFormat="1">
      <c r="A197" s="435"/>
      <c r="B197" s="6"/>
      <c r="C197" s="296"/>
      <c r="D197" s="296" t="s">
        <v>34</v>
      </c>
      <c r="E197" s="501"/>
      <c r="F197" s="501"/>
    </row>
    <row r="198" spans="1:6" s="12" customFormat="1">
      <c r="A198" s="435">
        <v>6</v>
      </c>
      <c r="B198" s="446" t="s">
        <v>2969</v>
      </c>
      <c r="D198" s="12" t="s">
        <v>34</v>
      </c>
      <c r="E198" s="588"/>
      <c r="F198" s="588"/>
    </row>
    <row r="199" spans="1:6" s="12" customFormat="1" ht="75">
      <c r="A199" s="435"/>
      <c r="B199" s="446" t="s">
        <v>2970</v>
      </c>
      <c r="E199" s="588"/>
      <c r="F199" s="588"/>
    </row>
    <row r="200" spans="1:6" s="12" customFormat="1" ht="30">
      <c r="A200" s="435"/>
      <c r="B200" s="446" t="s">
        <v>2971</v>
      </c>
      <c r="E200" s="588"/>
      <c r="F200" s="588"/>
    </row>
    <row r="201" spans="1:6" s="12" customFormat="1" ht="60">
      <c r="A201" s="435"/>
      <c r="B201" s="446" t="s">
        <v>2972</v>
      </c>
      <c r="C201" s="344" t="s">
        <v>18</v>
      </c>
      <c r="D201" s="344">
        <v>2</v>
      </c>
      <c r="E201" s="501"/>
      <c r="F201" s="345"/>
    </row>
    <row r="202" spans="1:6" s="12" customFormat="1">
      <c r="A202" s="435"/>
      <c r="B202" s="446"/>
    </row>
    <row r="203" spans="1:6" s="12" customFormat="1">
      <c r="A203" s="435">
        <v>7</v>
      </c>
      <c r="B203" s="6" t="s">
        <v>2969</v>
      </c>
      <c r="C203" s="344"/>
      <c r="D203" s="344"/>
      <c r="E203" s="345"/>
      <c r="F203" s="345"/>
    </row>
    <row r="204" spans="1:6" s="12" customFormat="1" ht="30">
      <c r="A204" s="435"/>
      <c r="B204" s="6" t="s">
        <v>2973</v>
      </c>
      <c r="C204" s="344"/>
      <c r="D204" s="344" t="s">
        <v>34</v>
      </c>
      <c r="E204" s="345"/>
      <c r="F204" s="345"/>
    </row>
    <row r="205" spans="1:6" s="12" customFormat="1" ht="45">
      <c r="A205" s="570"/>
      <c r="B205" s="6" t="s">
        <v>2974</v>
      </c>
      <c r="C205" s="344" t="s">
        <v>76</v>
      </c>
      <c r="D205" s="344">
        <v>2</v>
      </c>
      <c r="E205" s="345"/>
      <c r="F205" s="345"/>
    </row>
    <row r="206" spans="1:6" s="12" customFormat="1">
      <c r="A206" s="435"/>
      <c r="B206" s="6"/>
      <c r="C206" s="344"/>
      <c r="D206" s="344" t="s">
        <v>34</v>
      </c>
      <c r="E206" s="345"/>
      <c r="F206" s="345"/>
    </row>
    <row r="207" spans="1:6" s="12" customFormat="1" ht="45">
      <c r="A207" s="435">
        <v>8</v>
      </c>
      <c r="B207" s="6" t="s">
        <v>2975</v>
      </c>
      <c r="C207" s="344"/>
      <c r="D207" s="344"/>
      <c r="E207" s="345"/>
      <c r="F207" s="345"/>
    </row>
    <row r="208" spans="1:6" s="12" customFormat="1">
      <c r="A208" s="435"/>
      <c r="B208" s="511" t="s">
        <v>2976</v>
      </c>
      <c r="C208" s="344" t="s">
        <v>18</v>
      </c>
      <c r="D208" s="344">
        <v>3</v>
      </c>
      <c r="E208" s="345"/>
      <c r="F208" s="345"/>
    </row>
    <row r="209" spans="1:6" s="12" customFormat="1">
      <c r="A209" s="435"/>
      <c r="B209" s="511" t="s">
        <v>2977</v>
      </c>
      <c r="C209" s="344" t="s">
        <v>18</v>
      </c>
      <c r="D209" s="344">
        <v>5</v>
      </c>
      <c r="E209" s="345"/>
      <c r="F209" s="345"/>
    </row>
    <row r="210" spans="1:6" s="12" customFormat="1">
      <c r="A210" s="435"/>
      <c r="B210" s="511" t="s">
        <v>2944</v>
      </c>
      <c r="C210" s="344" t="s">
        <v>18</v>
      </c>
      <c r="D210" s="344">
        <v>3</v>
      </c>
      <c r="E210" s="345"/>
      <c r="F210" s="345"/>
    </row>
    <row r="211" spans="1:6" s="12" customFormat="1">
      <c r="A211" s="435"/>
      <c r="B211" s="511" t="s">
        <v>2978</v>
      </c>
      <c r="C211" s="344" t="s">
        <v>18</v>
      </c>
      <c r="D211" s="344">
        <v>11</v>
      </c>
      <c r="E211" s="345"/>
      <c r="F211" s="345"/>
    </row>
    <row r="212" spans="1:6" s="12" customFormat="1">
      <c r="A212" s="435"/>
      <c r="B212" s="6"/>
      <c r="C212" s="344"/>
      <c r="D212" s="344" t="s">
        <v>34</v>
      </c>
      <c r="E212" s="345"/>
      <c r="F212" s="345"/>
    </row>
    <row r="213" spans="1:6" s="12" customFormat="1" ht="45">
      <c r="A213" s="435">
        <v>9</v>
      </c>
      <c r="B213" s="6" t="s">
        <v>2979</v>
      </c>
      <c r="C213" s="344"/>
      <c r="D213" s="344" t="s">
        <v>34</v>
      </c>
      <c r="E213" s="345"/>
      <c r="F213" s="345"/>
    </row>
    <row r="214" spans="1:6" s="12" customFormat="1">
      <c r="A214" s="435"/>
      <c r="B214" s="446" t="s">
        <v>2976</v>
      </c>
      <c r="C214" s="344" t="s">
        <v>18</v>
      </c>
      <c r="D214" s="344">
        <v>1</v>
      </c>
      <c r="E214" s="345"/>
      <c r="F214" s="345"/>
    </row>
    <row r="215" spans="1:6" s="12" customFormat="1">
      <c r="A215" s="435"/>
      <c r="B215" s="446" t="s">
        <v>2977</v>
      </c>
      <c r="C215" s="344" t="s">
        <v>18</v>
      </c>
      <c r="D215" s="344">
        <v>1</v>
      </c>
      <c r="E215" s="345"/>
      <c r="F215" s="345"/>
    </row>
    <row r="216" spans="1:6" s="12" customFormat="1">
      <c r="A216" s="435"/>
      <c r="B216" s="446" t="s">
        <v>2944</v>
      </c>
      <c r="C216" s="344" t="s">
        <v>18</v>
      </c>
      <c r="D216" s="344">
        <v>1</v>
      </c>
      <c r="E216" s="345"/>
      <c r="F216" s="345"/>
    </row>
    <row r="217" spans="1:6" s="12" customFormat="1">
      <c r="A217" s="435"/>
      <c r="B217" s="446" t="s">
        <v>2978</v>
      </c>
      <c r="C217" s="344" t="s">
        <v>18</v>
      </c>
      <c r="D217" s="344">
        <v>1</v>
      </c>
      <c r="E217" s="345"/>
      <c r="F217" s="345"/>
    </row>
    <row r="218" spans="1:6" s="12" customFormat="1">
      <c r="A218" s="435"/>
      <c r="B218" s="6"/>
      <c r="C218" s="296"/>
      <c r="D218" s="296" t="s">
        <v>34</v>
      </c>
      <c r="E218" s="345"/>
      <c r="F218" s="345"/>
    </row>
    <row r="219" spans="1:6" s="12" customFormat="1" ht="45">
      <c r="A219" s="435">
        <v>10</v>
      </c>
      <c r="B219" s="6" t="s">
        <v>2980</v>
      </c>
      <c r="C219" s="344"/>
      <c r="D219" s="344" t="s">
        <v>34</v>
      </c>
      <c r="E219" s="345"/>
      <c r="F219" s="345"/>
    </row>
    <row r="220" spans="1:6" s="12" customFormat="1">
      <c r="A220" s="435"/>
      <c r="B220" s="511" t="s">
        <v>2978</v>
      </c>
      <c r="C220" s="344" t="s">
        <v>18</v>
      </c>
      <c r="D220" s="344">
        <v>2</v>
      </c>
      <c r="E220" s="345"/>
      <c r="F220" s="345"/>
    </row>
    <row r="221" spans="1:6" s="12" customFormat="1">
      <c r="A221" s="435"/>
      <c r="B221" s="6"/>
      <c r="C221" s="344"/>
      <c r="D221" s="344" t="s">
        <v>34</v>
      </c>
      <c r="E221" s="345"/>
      <c r="F221" s="345"/>
    </row>
    <row r="222" spans="1:6" s="12" customFormat="1" ht="45">
      <c r="A222" s="435">
        <v>11</v>
      </c>
      <c r="B222" s="6" t="s">
        <v>2981</v>
      </c>
      <c r="C222" s="344"/>
      <c r="D222" s="344" t="s">
        <v>34</v>
      </c>
      <c r="E222" s="345"/>
      <c r="F222" s="345"/>
    </row>
    <row r="223" spans="1:6" s="12" customFormat="1">
      <c r="A223" s="435"/>
      <c r="B223" s="511" t="s">
        <v>2978</v>
      </c>
      <c r="C223" s="344" t="s">
        <v>18</v>
      </c>
      <c r="D223" s="344">
        <v>2</v>
      </c>
      <c r="E223" s="345"/>
      <c r="F223" s="345"/>
    </row>
    <row r="224" spans="1:6" s="12" customFormat="1">
      <c r="A224" s="435"/>
      <c r="B224" s="6"/>
      <c r="C224" s="344"/>
      <c r="D224" s="344" t="s">
        <v>34</v>
      </c>
      <c r="E224" s="345"/>
      <c r="F224" s="345"/>
    </row>
    <row r="225" spans="1:6" s="12" customFormat="1" ht="165">
      <c r="A225" s="435">
        <v>12</v>
      </c>
      <c r="B225" s="6" t="s">
        <v>2982</v>
      </c>
      <c r="C225" s="344"/>
      <c r="D225" s="344" t="s">
        <v>34</v>
      </c>
      <c r="E225" s="345"/>
      <c r="F225" s="345"/>
    </row>
    <row r="226" spans="1:6" s="12" customFormat="1" ht="30">
      <c r="A226" s="435"/>
      <c r="B226" s="6" t="s">
        <v>2983</v>
      </c>
      <c r="C226" s="344" t="s">
        <v>18</v>
      </c>
      <c r="D226" s="344">
        <v>1</v>
      </c>
      <c r="E226" s="345"/>
      <c r="F226" s="345"/>
    </row>
    <row r="227" spans="1:6" s="12" customFormat="1" ht="30">
      <c r="A227" s="435"/>
      <c r="B227" s="6" t="s">
        <v>2984</v>
      </c>
      <c r="C227" s="344" t="s">
        <v>18</v>
      </c>
      <c r="D227" s="344">
        <v>1</v>
      </c>
      <c r="E227" s="345"/>
      <c r="F227" s="345"/>
    </row>
    <row r="228" spans="1:6" s="12" customFormat="1" ht="30">
      <c r="A228" s="435"/>
      <c r="B228" s="6" t="s">
        <v>2985</v>
      </c>
      <c r="C228" s="344" t="s">
        <v>18</v>
      </c>
      <c r="D228" s="344">
        <v>1</v>
      </c>
      <c r="E228" s="345"/>
      <c r="F228" s="345"/>
    </row>
    <row r="229" spans="1:6" s="12" customFormat="1" ht="30">
      <c r="A229" s="435"/>
      <c r="B229" s="6" t="s">
        <v>2986</v>
      </c>
      <c r="C229" s="344" t="s">
        <v>18</v>
      </c>
      <c r="D229" s="344">
        <v>1</v>
      </c>
      <c r="E229" s="345"/>
      <c r="F229" s="345"/>
    </row>
    <row r="230" spans="1:6" s="12" customFormat="1">
      <c r="A230" s="435"/>
      <c r="B230" s="6"/>
      <c r="C230" s="344"/>
      <c r="D230" s="344" t="s">
        <v>34</v>
      </c>
      <c r="E230" s="345"/>
      <c r="F230" s="345"/>
    </row>
    <row r="231" spans="1:6" s="12" customFormat="1" ht="210">
      <c r="A231" s="435">
        <v>13</v>
      </c>
      <c r="B231" s="6" t="s">
        <v>2987</v>
      </c>
      <c r="C231" s="344"/>
      <c r="D231" s="344"/>
      <c r="E231" s="345"/>
      <c r="F231" s="345"/>
    </row>
    <row r="232" spans="1:6" s="12" customFormat="1">
      <c r="B232" s="6" t="s">
        <v>2988</v>
      </c>
      <c r="C232" s="344" t="s">
        <v>280</v>
      </c>
      <c r="D232" s="344">
        <v>8</v>
      </c>
      <c r="E232" s="345"/>
      <c r="F232" s="345"/>
    </row>
    <row r="233" spans="1:6" s="12" customFormat="1">
      <c r="B233" s="6" t="s">
        <v>2989</v>
      </c>
      <c r="C233" s="344" t="s">
        <v>280</v>
      </c>
      <c r="D233" s="344">
        <v>8</v>
      </c>
      <c r="E233" s="345"/>
      <c r="F233" s="345"/>
    </row>
    <row r="234" spans="1:6" s="12" customFormat="1">
      <c r="B234" s="6" t="s">
        <v>2990</v>
      </c>
      <c r="C234" s="344" t="s">
        <v>280</v>
      </c>
      <c r="D234" s="344">
        <v>8</v>
      </c>
      <c r="E234" s="345"/>
      <c r="F234" s="345"/>
    </row>
    <row r="235" spans="1:6" s="12" customFormat="1">
      <c r="B235" s="6" t="s">
        <v>2991</v>
      </c>
      <c r="C235" s="344" t="s">
        <v>280</v>
      </c>
      <c r="D235" s="344">
        <v>60</v>
      </c>
      <c r="E235" s="345"/>
      <c r="F235" s="345"/>
    </row>
    <row r="236" spans="1:6" s="12" customFormat="1">
      <c r="D236" s="344"/>
      <c r="E236" s="345"/>
      <c r="F236" s="345"/>
    </row>
    <row r="237" spans="1:6" s="12" customFormat="1" ht="165">
      <c r="A237" s="435">
        <v>14</v>
      </c>
      <c r="B237" s="6" t="s">
        <v>3402</v>
      </c>
      <c r="C237" s="344"/>
      <c r="D237" s="344"/>
      <c r="E237" s="345"/>
      <c r="F237" s="345"/>
    </row>
    <row r="238" spans="1:6" s="12" customFormat="1">
      <c r="B238" s="6" t="s">
        <v>2988</v>
      </c>
      <c r="C238" s="344" t="s">
        <v>280</v>
      </c>
      <c r="D238" s="344">
        <v>8</v>
      </c>
      <c r="E238" s="345"/>
      <c r="F238" s="345"/>
    </row>
    <row r="239" spans="1:6" s="12" customFormat="1">
      <c r="B239" s="6" t="s">
        <v>2989</v>
      </c>
      <c r="C239" s="344" t="s">
        <v>280</v>
      </c>
      <c r="D239" s="344">
        <v>8</v>
      </c>
      <c r="E239" s="345"/>
      <c r="F239" s="345"/>
    </row>
    <row r="240" spans="1:6" s="12" customFormat="1">
      <c r="B240" s="6" t="s">
        <v>2990</v>
      </c>
      <c r="C240" s="344" t="s">
        <v>280</v>
      </c>
      <c r="D240" s="344">
        <v>8</v>
      </c>
      <c r="E240" s="345"/>
      <c r="F240" s="345"/>
    </row>
    <row r="241" spans="1:6" s="12" customFormat="1">
      <c r="B241" s="6" t="s">
        <v>2991</v>
      </c>
      <c r="C241" s="344" t="s">
        <v>280</v>
      </c>
      <c r="D241" s="344">
        <v>60</v>
      </c>
      <c r="E241" s="345"/>
      <c r="F241" s="345"/>
    </row>
    <row r="242" spans="1:6" s="12" customFormat="1">
      <c r="A242" s="435"/>
      <c r="B242" s="502"/>
      <c r="C242" s="344"/>
      <c r="D242" s="344"/>
      <c r="E242" s="345"/>
      <c r="F242" s="345"/>
    </row>
    <row r="243" spans="1:6" s="12" customFormat="1">
      <c r="A243" s="435">
        <v>15</v>
      </c>
      <c r="B243" s="6" t="s">
        <v>2992</v>
      </c>
      <c r="C243" s="296"/>
      <c r="D243" s="344" t="s">
        <v>34</v>
      </c>
      <c r="E243" s="297"/>
      <c r="F243" s="297"/>
    </row>
    <row r="244" spans="1:6" s="12" customFormat="1" ht="150">
      <c r="A244" s="435"/>
      <c r="B244" s="589" t="s">
        <v>2993</v>
      </c>
      <c r="C244" s="296"/>
      <c r="D244" s="344"/>
      <c r="E244" s="297"/>
      <c r="F244" s="297"/>
    </row>
    <row r="245" spans="1:6" s="12" customFormat="1">
      <c r="A245" s="435"/>
      <c r="B245" s="589" t="s">
        <v>2994</v>
      </c>
      <c r="C245" s="344" t="s">
        <v>18</v>
      </c>
      <c r="D245" s="344">
        <v>1</v>
      </c>
      <c r="E245" s="501"/>
      <c r="F245" s="501"/>
    </row>
    <row r="246" spans="1:6" s="12" customFormat="1" ht="30">
      <c r="A246" s="435"/>
      <c r="B246" s="6" t="s">
        <v>2995</v>
      </c>
      <c r="C246" s="296"/>
      <c r="D246" s="344"/>
      <c r="E246" s="297"/>
      <c r="F246" s="297"/>
    </row>
    <row r="247" spans="1:6" s="12" customFormat="1">
      <c r="A247" s="435"/>
      <c r="B247" s="6"/>
      <c r="C247" s="344"/>
      <c r="D247" s="344" t="s">
        <v>34</v>
      </c>
      <c r="E247" s="345"/>
      <c r="F247" s="345"/>
    </row>
    <row r="248" spans="1:6" s="12" customFormat="1" ht="210">
      <c r="A248" s="435">
        <v>16</v>
      </c>
      <c r="B248" s="6" t="s">
        <v>2996</v>
      </c>
      <c r="C248" s="344"/>
      <c r="D248" s="344" t="s">
        <v>34</v>
      </c>
      <c r="E248" s="345"/>
      <c r="F248" s="345"/>
    </row>
    <row r="249" spans="1:6" s="12" customFormat="1" ht="120">
      <c r="A249" s="435"/>
      <c r="B249" s="511" t="s">
        <v>2997</v>
      </c>
      <c r="C249" s="344" t="s">
        <v>18</v>
      </c>
      <c r="D249" s="344">
        <v>1</v>
      </c>
      <c r="E249" s="345"/>
      <c r="F249" s="345"/>
    </row>
    <row r="250" spans="1:6" s="12" customFormat="1">
      <c r="A250" s="435"/>
      <c r="B250" s="6"/>
      <c r="C250" s="344"/>
      <c r="D250" s="344"/>
      <c r="E250" s="345"/>
      <c r="F250" s="345"/>
    </row>
    <row r="251" spans="1:6" s="12" customFormat="1" ht="60">
      <c r="A251" s="435">
        <v>17</v>
      </c>
      <c r="B251" s="6" t="s">
        <v>2998</v>
      </c>
      <c r="C251" s="344"/>
      <c r="D251" s="344" t="s">
        <v>34</v>
      </c>
      <c r="E251" s="345"/>
      <c r="F251" s="345"/>
    </row>
    <row r="252" spans="1:6" s="12" customFormat="1">
      <c r="A252" s="435"/>
      <c r="B252" s="511" t="s">
        <v>2977</v>
      </c>
      <c r="C252" s="344" t="s">
        <v>18</v>
      </c>
      <c r="D252" s="344">
        <v>3</v>
      </c>
      <c r="E252" s="345"/>
      <c r="F252" s="345"/>
    </row>
    <row r="253" spans="1:6" s="12" customFormat="1">
      <c r="A253" s="435"/>
      <c r="B253" s="6"/>
      <c r="C253" s="344"/>
      <c r="D253" s="344" t="s">
        <v>34</v>
      </c>
      <c r="E253" s="345"/>
      <c r="F253" s="345"/>
    </row>
    <row r="254" spans="1:6" s="12" customFormat="1" ht="45">
      <c r="A254" s="435">
        <v>18</v>
      </c>
      <c r="B254" s="6" t="s">
        <v>2999</v>
      </c>
      <c r="C254" s="344"/>
      <c r="D254" s="344" t="s">
        <v>34</v>
      </c>
      <c r="E254" s="345"/>
      <c r="F254" s="345"/>
    </row>
    <row r="255" spans="1:6" s="12" customFormat="1">
      <c r="A255" s="435"/>
      <c r="B255" s="511" t="s">
        <v>2977</v>
      </c>
      <c r="C255" s="344" t="s">
        <v>18</v>
      </c>
      <c r="D255" s="344">
        <v>3</v>
      </c>
      <c r="E255" s="345"/>
      <c r="F255" s="345"/>
    </row>
    <row r="256" spans="1:6" s="12" customFormat="1">
      <c r="A256" s="435"/>
      <c r="B256" s="6"/>
      <c r="C256" s="344"/>
      <c r="D256" s="344" t="s">
        <v>34</v>
      </c>
      <c r="E256" s="345"/>
      <c r="F256" s="345"/>
    </row>
    <row r="257" spans="1:6" s="12" customFormat="1" ht="30">
      <c r="A257" s="435">
        <f>SUM(A254:A256) +1</f>
        <v>19</v>
      </c>
      <c r="B257" s="6" t="s">
        <v>3000</v>
      </c>
      <c r="C257" s="344"/>
      <c r="D257" s="344" t="s">
        <v>34</v>
      </c>
      <c r="E257" s="345"/>
      <c r="F257" s="345"/>
    </row>
    <row r="258" spans="1:6" s="12" customFormat="1">
      <c r="A258" s="435"/>
      <c r="B258" s="511" t="s">
        <v>2977</v>
      </c>
      <c r="C258" s="344" t="s">
        <v>18</v>
      </c>
      <c r="D258" s="344">
        <v>1</v>
      </c>
      <c r="E258" s="345"/>
      <c r="F258" s="345"/>
    </row>
    <row r="259" spans="1:6" s="12" customFormat="1">
      <c r="A259" s="435"/>
      <c r="B259" s="6"/>
      <c r="C259" s="344"/>
      <c r="D259" s="344" t="s">
        <v>34</v>
      </c>
      <c r="E259" s="345"/>
      <c r="F259" s="345"/>
    </row>
    <row r="260" spans="1:6" s="12" customFormat="1" ht="30">
      <c r="A260" s="435">
        <v>20</v>
      </c>
      <c r="B260" s="6" t="s">
        <v>3001</v>
      </c>
      <c r="C260" s="344"/>
      <c r="D260" s="344" t="s">
        <v>34</v>
      </c>
      <c r="E260" s="345"/>
      <c r="F260" s="345"/>
    </row>
    <row r="261" spans="1:6" s="12" customFormat="1">
      <c r="A261" s="435"/>
      <c r="B261" s="511" t="s">
        <v>3002</v>
      </c>
      <c r="C261" s="344" t="s">
        <v>18</v>
      </c>
      <c r="D261" s="344">
        <v>2</v>
      </c>
      <c r="E261" s="345"/>
      <c r="F261" s="345"/>
    </row>
    <row r="262" spans="1:6" s="12" customFormat="1">
      <c r="A262" s="435"/>
      <c r="B262" s="511" t="s">
        <v>3003</v>
      </c>
      <c r="C262" s="344" t="s">
        <v>18</v>
      </c>
      <c r="D262" s="344">
        <v>1</v>
      </c>
      <c r="E262" s="345"/>
      <c r="F262" s="345"/>
    </row>
    <row r="263" spans="1:6" s="12" customFormat="1">
      <c r="A263" s="435"/>
      <c r="B263" s="6"/>
      <c r="C263" s="344"/>
      <c r="D263" s="344" t="s">
        <v>34</v>
      </c>
      <c r="E263" s="345"/>
      <c r="F263" s="345"/>
    </row>
    <row r="264" spans="1:6" s="12" customFormat="1" ht="45">
      <c r="A264" s="435">
        <v>21</v>
      </c>
      <c r="B264" s="6" t="s">
        <v>3004</v>
      </c>
      <c r="C264" s="344"/>
      <c r="D264" s="344" t="s">
        <v>34</v>
      </c>
      <c r="E264" s="345"/>
      <c r="F264" s="345"/>
    </row>
    <row r="265" spans="1:6" s="12" customFormat="1">
      <c r="A265" s="435"/>
      <c r="B265" s="511" t="s">
        <v>3005</v>
      </c>
      <c r="C265" s="344" t="s">
        <v>18</v>
      </c>
      <c r="D265" s="344">
        <v>2</v>
      </c>
      <c r="E265" s="345"/>
      <c r="F265" s="345"/>
    </row>
    <row r="266" spans="1:6" s="12" customFormat="1">
      <c r="A266" s="435"/>
      <c r="B266" s="6"/>
      <c r="C266" s="344"/>
      <c r="D266" s="344" t="s">
        <v>34</v>
      </c>
      <c r="E266" s="345"/>
      <c r="F266" s="345"/>
    </row>
    <row r="267" spans="1:6" s="12" customFormat="1" ht="45">
      <c r="A267" s="435">
        <v>22</v>
      </c>
      <c r="B267" s="6" t="s">
        <v>3006</v>
      </c>
      <c r="C267" s="344"/>
      <c r="D267" s="344" t="s">
        <v>34</v>
      </c>
      <c r="E267" s="345"/>
      <c r="F267" s="345"/>
    </row>
    <row r="268" spans="1:6" s="12" customFormat="1">
      <c r="A268" s="435"/>
      <c r="B268" s="502" t="s">
        <v>3007</v>
      </c>
      <c r="C268" s="344" t="s">
        <v>18</v>
      </c>
      <c r="D268" s="344">
        <v>2</v>
      </c>
      <c r="E268" s="345"/>
      <c r="F268" s="345"/>
    </row>
    <row r="269" spans="1:6" s="12" customFormat="1">
      <c r="A269" s="435"/>
      <c r="B269" s="6"/>
      <c r="C269" s="344"/>
      <c r="D269" s="344"/>
      <c r="E269" s="345"/>
      <c r="F269" s="345"/>
    </row>
    <row r="270" spans="1:6" s="12" customFormat="1" ht="45">
      <c r="A270" s="435">
        <f>SUM(A267:A269) +1</f>
        <v>23</v>
      </c>
      <c r="B270" s="6" t="s">
        <v>3008</v>
      </c>
      <c r="C270" s="344"/>
      <c r="D270" s="344" t="s">
        <v>34</v>
      </c>
      <c r="E270" s="345"/>
      <c r="F270" s="345"/>
    </row>
    <row r="271" spans="1:6" s="12" customFormat="1">
      <c r="A271" s="435"/>
      <c r="B271" s="502" t="s">
        <v>3009</v>
      </c>
      <c r="C271" s="344" t="s">
        <v>18</v>
      </c>
      <c r="D271" s="344">
        <v>1</v>
      </c>
      <c r="E271" s="345"/>
      <c r="F271" s="345"/>
    </row>
    <row r="272" spans="1:6" s="12" customFormat="1">
      <c r="A272" s="435"/>
      <c r="B272" s="6"/>
      <c r="C272" s="344"/>
      <c r="D272" s="344" t="s">
        <v>34</v>
      </c>
      <c r="E272" s="345"/>
      <c r="F272" s="345"/>
    </row>
    <row r="273" spans="1:6" s="12" customFormat="1" ht="120">
      <c r="A273" s="435">
        <f>SUM(A270:A272) +1</f>
        <v>24</v>
      </c>
      <c r="B273" s="6" t="s">
        <v>3010</v>
      </c>
      <c r="C273" s="344" t="s">
        <v>18</v>
      </c>
      <c r="D273" s="344">
        <v>1</v>
      </c>
      <c r="E273" s="345"/>
      <c r="F273" s="345"/>
    </row>
    <row r="274" spans="1:6" s="12" customFormat="1">
      <c r="A274" s="435"/>
      <c r="B274" s="6"/>
      <c r="C274" s="344"/>
      <c r="D274" s="344" t="s">
        <v>34</v>
      </c>
      <c r="E274" s="345"/>
      <c r="F274" s="345"/>
    </row>
    <row r="275" spans="1:6" s="12" customFormat="1" ht="45">
      <c r="A275" s="435">
        <f>SUM(A272:A274) +1</f>
        <v>25</v>
      </c>
      <c r="B275" s="6" t="s">
        <v>3011</v>
      </c>
      <c r="C275" s="344" t="s">
        <v>18</v>
      </c>
      <c r="D275" s="344">
        <v>12</v>
      </c>
      <c r="E275" s="345"/>
      <c r="F275" s="345"/>
    </row>
    <row r="276" spans="1:6" s="12" customFormat="1">
      <c r="A276" s="435"/>
      <c r="B276" s="6"/>
      <c r="C276" s="344"/>
      <c r="D276" s="344" t="s">
        <v>34</v>
      </c>
      <c r="E276" s="345"/>
      <c r="F276" s="345"/>
    </row>
    <row r="277" spans="1:6" s="12" customFormat="1" ht="45">
      <c r="A277" s="435">
        <f>SUM(A274:A276) +1</f>
        <v>26</v>
      </c>
      <c r="B277" s="6" t="s">
        <v>3012</v>
      </c>
      <c r="C277" s="344" t="s">
        <v>18</v>
      </c>
      <c r="D277" s="344">
        <v>2</v>
      </c>
      <c r="E277" s="345"/>
      <c r="F277" s="345"/>
    </row>
    <row r="278" spans="1:6" s="12" customFormat="1">
      <c r="A278" s="435"/>
      <c r="B278" s="6"/>
      <c r="C278" s="344"/>
      <c r="D278" s="344" t="s">
        <v>34</v>
      </c>
      <c r="E278" s="345"/>
      <c r="F278" s="345"/>
    </row>
    <row r="279" spans="1:6" s="12" customFormat="1" ht="45">
      <c r="A279" s="435">
        <f>SUM(A276:A278) +1</f>
        <v>27</v>
      </c>
      <c r="B279" s="6" t="s">
        <v>3013</v>
      </c>
      <c r="C279" s="344" t="s">
        <v>18</v>
      </c>
      <c r="D279" s="344">
        <v>12</v>
      </c>
      <c r="E279" s="345"/>
      <c r="F279" s="345"/>
    </row>
    <row r="280" spans="1:6" s="12" customFormat="1">
      <c r="A280" s="435"/>
      <c r="B280" s="502"/>
      <c r="C280" s="344"/>
      <c r="D280" s="344" t="s">
        <v>34</v>
      </c>
      <c r="E280" s="345"/>
      <c r="F280" s="345"/>
    </row>
    <row r="281" spans="1:6" s="12" customFormat="1" ht="75">
      <c r="A281" s="435">
        <v>28</v>
      </c>
      <c r="B281" s="6" t="s">
        <v>3014</v>
      </c>
      <c r="C281" s="296" t="s">
        <v>76</v>
      </c>
      <c r="D281" s="296">
        <v>2</v>
      </c>
      <c r="E281" s="345"/>
      <c r="F281" s="345"/>
    </row>
    <row r="282" spans="1:6" s="12" customFormat="1">
      <c r="A282" s="435"/>
      <c r="B282" s="6"/>
      <c r="C282" s="296"/>
      <c r="D282" s="296" t="s">
        <v>34</v>
      </c>
      <c r="E282" s="345"/>
      <c r="F282" s="345"/>
    </row>
    <row r="283" spans="1:6" s="12" customFormat="1">
      <c r="A283" s="435">
        <f>SUM(A281:A282) +1</f>
        <v>29</v>
      </c>
      <c r="B283" s="6" t="s">
        <v>3015</v>
      </c>
      <c r="C283" s="296" t="s">
        <v>76</v>
      </c>
      <c r="D283" s="296">
        <v>2</v>
      </c>
      <c r="E283" s="345"/>
      <c r="F283" s="345"/>
    </row>
    <row r="284" spans="1:6" s="12" customFormat="1">
      <c r="A284" s="435"/>
      <c r="B284" s="6"/>
      <c r="C284" s="296"/>
      <c r="D284" s="296" t="s">
        <v>34</v>
      </c>
      <c r="E284" s="345"/>
      <c r="F284" s="345"/>
    </row>
    <row r="285" spans="1:6" s="505" customFormat="1" ht="167.25">
      <c r="A285" s="503">
        <v>30</v>
      </c>
      <c r="B285" s="504" t="s">
        <v>3366</v>
      </c>
      <c r="C285" s="590" t="s">
        <v>76</v>
      </c>
      <c r="D285" s="344">
        <v>2</v>
      </c>
      <c r="E285" s="345"/>
      <c r="F285" s="345"/>
    </row>
    <row r="286" spans="1:6" s="505" customFormat="1">
      <c r="A286" s="503"/>
      <c r="B286" s="504"/>
      <c r="C286" s="590"/>
      <c r="D286" s="506"/>
      <c r="E286" s="489"/>
      <c r="F286" s="490"/>
    </row>
    <row r="287" spans="1:6" s="505" customFormat="1" ht="60">
      <c r="A287" s="465">
        <v>31</v>
      </c>
      <c r="B287" s="504" t="s">
        <v>3016</v>
      </c>
      <c r="C287" s="590" t="s">
        <v>21</v>
      </c>
      <c r="D287" s="344">
        <v>200</v>
      </c>
      <c r="E287" s="345"/>
      <c r="F287" s="345"/>
    </row>
    <row r="288" spans="1:6" s="12" customFormat="1">
      <c r="A288" s="299"/>
      <c r="B288" s="507"/>
      <c r="C288" s="508"/>
      <c r="D288" s="508"/>
      <c r="E288" s="509"/>
      <c r="F288" s="509"/>
    </row>
    <row r="289" spans="1:6" s="12" customFormat="1" ht="60">
      <c r="A289" s="435">
        <v>32</v>
      </c>
      <c r="B289" s="6" t="s">
        <v>3017</v>
      </c>
      <c r="C289" s="296" t="s">
        <v>76</v>
      </c>
      <c r="D289" s="296">
        <v>2</v>
      </c>
      <c r="E289" s="345"/>
      <c r="F289" s="345"/>
    </row>
    <row r="290" spans="1:6" s="12" customFormat="1">
      <c r="A290" s="435"/>
      <c r="B290" s="6"/>
      <c r="C290" s="296"/>
      <c r="D290" s="296" t="s">
        <v>34</v>
      </c>
      <c r="E290" s="345"/>
      <c r="F290" s="345"/>
    </row>
    <row r="291" spans="1:6" s="12" customFormat="1" ht="30">
      <c r="A291" s="465">
        <v>33</v>
      </c>
      <c r="B291" s="6" t="s">
        <v>2936</v>
      </c>
      <c r="C291" s="344" t="s">
        <v>76</v>
      </c>
      <c r="D291" s="344">
        <v>1</v>
      </c>
      <c r="E291" s="345"/>
      <c r="F291" s="345"/>
    </row>
    <row r="292" spans="1:6" s="12" customFormat="1">
      <c r="A292" s="435"/>
      <c r="B292" s="6"/>
      <c r="C292" s="296"/>
      <c r="D292" s="344" t="s">
        <v>34</v>
      </c>
      <c r="E292" s="345"/>
      <c r="F292" s="345"/>
    </row>
    <row r="293" spans="1:6" s="12" customFormat="1" ht="30">
      <c r="A293" s="465">
        <v>34</v>
      </c>
      <c r="B293" s="6" t="s">
        <v>2937</v>
      </c>
      <c r="C293" s="344" t="s">
        <v>76</v>
      </c>
      <c r="D293" s="344">
        <v>1</v>
      </c>
      <c r="E293" s="345"/>
      <c r="F293" s="345"/>
    </row>
    <row r="294" spans="1:6" s="12" customFormat="1">
      <c r="A294" s="435"/>
      <c r="B294" s="6"/>
      <c r="C294" s="344"/>
      <c r="D294" s="344" t="s">
        <v>34</v>
      </c>
      <c r="E294" s="345"/>
      <c r="F294" s="345"/>
    </row>
    <row r="295" spans="1:6" s="12" customFormat="1" ht="30">
      <c r="A295" s="435">
        <f>SUM(A292:A294) +1</f>
        <v>35</v>
      </c>
      <c r="B295" s="6" t="s">
        <v>2938</v>
      </c>
      <c r="C295" s="344" t="s">
        <v>76</v>
      </c>
      <c r="D295" s="344">
        <v>1</v>
      </c>
      <c r="E295" s="345"/>
      <c r="F295" s="345"/>
    </row>
    <row r="296" spans="1:6" s="12" customFormat="1">
      <c r="A296" s="435"/>
      <c r="B296" s="6"/>
      <c r="C296" s="344"/>
      <c r="D296" s="344"/>
      <c r="E296" s="345"/>
      <c r="F296" s="345"/>
    </row>
    <row r="297" spans="1:6" s="12" customFormat="1">
      <c r="A297" s="465" t="s">
        <v>2849</v>
      </c>
      <c r="B297" s="591" t="s">
        <v>278</v>
      </c>
      <c r="C297" s="510"/>
      <c r="D297" s="510"/>
      <c r="E297" s="522"/>
      <c r="F297" s="592"/>
    </row>
    <row r="298" spans="1:6" s="12" customFormat="1">
      <c r="A298" s="465"/>
      <c r="B298" s="342"/>
      <c r="E298" s="306"/>
    </row>
    <row r="299" spans="1:6" s="12" customFormat="1">
      <c r="A299" s="465"/>
      <c r="B299" s="342"/>
      <c r="E299" s="306"/>
    </row>
    <row r="300" spans="1:6" s="12" customFormat="1">
      <c r="A300" s="465"/>
      <c r="B300" s="446"/>
      <c r="E300" s="306"/>
    </row>
    <row r="301" spans="1:6" s="12" customFormat="1">
      <c r="A301" s="570"/>
      <c r="B301" s="6"/>
      <c r="C301" s="296"/>
      <c r="D301" s="296"/>
      <c r="E301" s="501"/>
      <c r="F301" s="501"/>
    </row>
    <row r="302" spans="1:6" s="567" customFormat="1">
      <c r="A302" s="593" t="s">
        <v>2880</v>
      </c>
      <c r="B302" s="5" t="s">
        <v>3018</v>
      </c>
      <c r="C302" s="436"/>
      <c r="D302" s="436"/>
      <c r="E302" s="594"/>
      <c r="F302" s="594"/>
    </row>
    <row r="303" spans="1:6" s="12" customFormat="1">
      <c r="A303" s="570"/>
      <c r="B303" s="6"/>
      <c r="C303" s="296"/>
      <c r="D303" s="296"/>
      <c r="E303" s="501"/>
      <c r="F303" s="501"/>
    </row>
    <row r="304" spans="1:6" s="12" customFormat="1" ht="210">
      <c r="A304" s="435">
        <v>1</v>
      </c>
      <c r="B304" s="6" t="s">
        <v>2987</v>
      </c>
      <c r="C304" s="344"/>
      <c r="D304" s="344"/>
      <c r="E304" s="345"/>
      <c r="F304" s="345"/>
    </row>
    <row r="305" spans="1:6" s="12" customFormat="1">
      <c r="B305" s="6" t="s">
        <v>3019</v>
      </c>
      <c r="C305" s="344" t="s">
        <v>280</v>
      </c>
      <c r="D305" s="344">
        <v>280</v>
      </c>
      <c r="E305" s="345"/>
      <c r="F305" s="345"/>
    </row>
    <row r="306" spans="1:6" s="12" customFormat="1">
      <c r="B306" s="6" t="s">
        <v>3020</v>
      </c>
      <c r="C306" s="344" t="s">
        <v>280</v>
      </c>
      <c r="D306" s="344">
        <v>40</v>
      </c>
      <c r="E306" s="345"/>
      <c r="F306" s="345"/>
    </row>
    <row r="307" spans="1:6" s="12" customFormat="1">
      <c r="B307" s="6" t="s">
        <v>2988</v>
      </c>
      <c r="C307" s="344" t="s">
        <v>280</v>
      </c>
      <c r="D307" s="344">
        <v>114</v>
      </c>
      <c r="E307" s="345"/>
      <c r="F307" s="345"/>
    </row>
    <row r="308" spans="1:6" s="12" customFormat="1">
      <c r="B308" s="6" t="s">
        <v>2989</v>
      </c>
      <c r="C308" s="344" t="s">
        <v>280</v>
      </c>
      <c r="D308" s="344">
        <v>24</v>
      </c>
      <c r="E308" s="345"/>
      <c r="F308" s="345"/>
    </row>
    <row r="309" spans="1:6" s="12" customFormat="1">
      <c r="D309" s="344"/>
      <c r="E309" s="345"/>
      <c r="F309" s="345"/>
    </row>
    <row r="310" spans="1:6" s="12" customFormat="1" ht="45">
      <c r="A310" s="435">
        <v>2</v>
      </c>
      <c r="B310" s="6" t="s">
        <v>3021</v>
      </c>
      <c r="C310" s="296"/>
      <c r="D310" s="296" t="s">
        <v>34</v>
      </c>
      <c r="E310" s="501"/>
      <c r="F310" s="501"/>
    </row>
    <row r="311" spans="1:6" s="12" customFormat="1">
      <c r="A311" s="435"/>
      <c r="B311" s="6" t="s">
        <v>3022</v>
      </c>
      <c r="C311" s="296" t="s">
        <v>280</v>
      </c>
      <c r="D311" s="296">
        <v>1680</v>
      </c>
      <c r="E311" s="501"/>
      <c r="F311" s="345"/>
    </row>
    <row r="312" spans="1:6" s="12" customFormat="1">
      <c r="A312" s="435"/>
      <c r="B312" s="6" t="s">
        <v>3023</v>
      </c>
      <c r="C312" s="296" t="s">
        <v>280</v>
      </c>
      <c r="D312" s="296">
        <v>106</v>
      </c>
      <c r="E312" s="501"/>
      <c r="F312" s="345"/>
    </row>
    <row r="313" spans="1:6" s="12" customFormat="1">
      <c r="A313" s="435"/>
      <c r="B313" s="6" t="s">
        <v>3024</v>
      </c>
      <c r="C313" s="296" t="s">
        <v>280</v>
      </c>
      <c r="D313" s="296">
        <v>144</v>
      </c>
      <c r="E313" s="501"/>
      <c r="F313" s="345"/>
    </row>
    <row r="314" spans="1:6" s="12" customFormat="1">
      <c r="A314" s="435"/>
      <c r="B314" s="6"/>
      <c r="C314" s="296"/>
      <c r="D314" s="296" t="s">
        <v>34</v>
      </c>
      <c r="E314" s="501"/>
      <c r="F314" s="501"/>
    </row>
    <row r="315" spans="1:6" s="12" customFormat="1" ht="165">
      <c r="A315" s="435">
        <v>3</v>
      </c>
      <c r="B315" s="6" t="s">
        <v>3402</v>
      </c>
      <c r="C315" s="344"/>
      <c r="D315" s="344"/>
      <c r="E315" s="345"/>
      <c r="F315" s="345"/>
    </row>
    <row r="316" spans="1:6" s="12" customFormat="1">
      <c r="A316" s="435"/>
      <c r="B316" s="6" t="s">
        <v>3025</v>
      </c>
      <c r="C316" s="296" t="s">
        <v>280</v>
      </c>
      <c r="D316" s="296">
        <v>106</v>
      </c>
      <c r="E316" s="501"/>
      <c r="F316" s="345"/>
    </row>
    <row r="317" spans="1:6" s="12" customFormat="1">
      <c r="A317" s="435"/>
      <c r="B317" s="6" t="s">
        <v>3026</v>
      </c>
      <c r="C317" s="296" t="s">
        <v>280</v>
      </c>
      <c r="D317" s="296">
        <v>144</v>
      </c>
      <c r="E317" s="501"/>
      <c r="F317" s="345"/>
    </row>
    <row r="318" spans="1:6" s="12" customFormat="1">
      <c r="B318" s="6" t="s">
        <v>3019</v>
      </c>
      <c r="C318" s="344" t="s">
        <v>280</v>
      </c>
      <c r="D318" s="344">
        <v>280</v>
      </c>
      <c r="E318" s="501"/>
      <c r="F318" s="345"/>
    </row>
    <row r="319" spans="1:6" s="12" customFormat="1">
      <c r="B319" s="6" t="s">
        <v>3020</v>
      </c>
      <c r="C319" s="344" t="s">
        <v>280</v>
      </c>
      <c r="D319" s="344">
        <v>40</v>
      </c>
      <c r="E319" s="501"/>
      <c r="F319" s="345"/>
    </row>
    <row r="320" spans="1:6" s="12" customFormat="1">
      <c r="B320" s="6" t="s">
        <v>2988</v>
      </c>
      <c r="C320" s="344" t="s">
        <v>280</v>
      </c>
      <c r="D320" s="344">
        <v>114</v>
      </c>
      <c r="E320" s="501"/>
      <c r="F320" s="345"/>
    </row>
    <row r="321" spans="1:6" s="12" customFormat="1">
      <c r="B321" s="6" t="s">
        <v>2989</v>
      </c>
      <c r="C321" s="344" t="s">
        <v>280</v>
      </c>
      <c r="D321" s="344">
        <v>24</v>
      </c>
      <c r="E321" s="501"/>
      <c r="F321" s="345"/>
    </row>
    <row r="322" spans="1:6" s="12" customFormat="1">
      <c r="A322" s="435"/>
      <c r="B322" s="502"/>
      <c r="C322" s="344"/>
      <c r="D322" s="344"/>
      <c r="E322" s="501"/>
      <c r="F322" s="345"/>
    </row>
    <row r="323" spans="1:6" s="12" customFormat="1" ht="75">
      <c r="A323" s="435">
        <v>4</v>
      </c>
      <c r="B323" s="6" t="s">
        <v>3027</v>
      </c>
      <c r="C323" s="344"/>
      <c r="D323" s="571" t="s">
        <v>34</v>
      </c>
      <c r="E323" s="501"/>
      <c r="F323" s="345"/>
    </row>
    <row r="324" spans="1:6" s="12" customFormat="1">
      <c r="A324" s="435"/>
      <c r="B324" s="6" t="s">
        <v>2988</v>
      </c>
      <c r="C324" s="296" t="s">
        <v>76</v>
      </c>
      <c r="D324" s="344">
        <v>2</v>
      </c>
      <c r="E324" s="501"/>
      <c r="F324" s="345"/>
    </row>
    <row r="325" spans="1:6" s="12" customFormat="1">
      <c r="A325" s="465"/>
      <c r="B325" s="446"/>
      <c r="C325" s="344"/>
      <c r="D325" s="344" t="s">
        <v>34</v>
      </c>
      <c r="E325" s="345"/>
      <c r="F325" s="345"/>
    </row>
    <row r="326" spans="1:6" s="12" customFormat="1" ht="105">
      <c r="A326" s="435">
        <v>5</v>
      </c>
      <c r="B326" s="6" t="s">
        <v>3028</v>
      </c>
      <c r="C326" s="296"/>
      <c r="D326" s="296" t="s">
        <v>34</v>
      </c>
      <c r="E326" s="501"/>
      <c r="F326" s="501"/>
    </row>
    <row r="327" spans="1:6" s="12" customFormat="1">
      <c r="A327" s="435"/>
      <c r="B327" s="6" t="s">
        <v>3029</v>
      </c>
      <c r="C327" s="296" t="s">
        <v>18</v>
      </c>
      <c r="D327" s="296">
        <v>1</v>
      </c>
      <c r="E327" s="501"/>
      <c r="F327" s="345"/>
    </row>
    <row r="328" spans="1:6" s="12" customFormat="1">
      <c r="A328" s="435"/>
      <c r="B328" s="6" t="s">
        <v>3030</v>
      </c>
      <c r="C328" s="296" t="s">
        <v>18</v>
      </c>
      <c r="D328" s="296">
        <v>2</v>
      </c>
      <c r="E328" s="501"/>
      <c r="F328" s="345"/>
    </row>
    <row r="329" spans="1:6" s="12" customFormat="1">
      <c r="A329" s="435"/>
      <c r="B329" s="6" t="s">
        <v>3031</v>
      </c>
      <c r="C329" s="296" t="s">
        <v>18</v>
      </c>
      <c r="D329" s="296">
        <v>3</v>
      </c>
      <c r="E329" s="501"/>
      <c r="F329" s="345"/>
    </row>
    <row r="330" spans="1:6" s="12" customFormat="1">
      <c r="A330" s="435"/>
      <c r="B330" s="6"/>
      <c r="C330" s="296"/>
      <c r="D330" s="296" t="s">
        <v>34</v>
      </c>
      <c r="E330" s="501"/>
      <c r="F330" s="501"/>
    </row>
    <row r="331" spans="1:6" s="12" customFormat="1" ht="60">
      <c r="A331" s="435">
        <f>SUM(A326:A330) +1</f>
        <v>6</v>
      </c>
      <c r="B331" s="6" t="s">
        <v>3032</v>
      </c>
      <c r="C331" s="296"/>
      <c r="D331" s="296" t="s">
        <v>34</v>
      </c>
      <c r="E331" s="501"/>
      <c r="F331" s="501"/>
    </row>
    <row r="332" spans="1:6" s="12" customFormat="1">
      <c r="A332" s="435"/>
      <c r="B332" s="6" t="s">
        <v>3033</v>
      </c>
      <c r="C332" s="296" t="s">
        <v>18</v>
      </c>
      <c r="D332" s="296">
        <f>D327</f>
        <v>1</v>
      </c>
      <c r="E332" s="501"/>
      <c r="F332" s="345"/>
    </row>
    <row r="333" spans="1:6" s="12" customFormat="1">
      <c r="A333" s="435"/>
      <c r="B333" s="6" t="s">
        <v>3034</v>
      </c>
      <c r="C333" s="296" t="s">
        <v>18</v>
      </c>
      <c r="D333" s="296">
        <f>D328</f>
        <v>2</v>
      </c>
      <c r="E333" s="501"/>
      <c r="F333" s="345"/>
    </row>
    <row r="334" spans="1:6" s="12" customFormat="1">
      <c r="A334" s="435"/>
      <c r="B334" s="6" t="s">
        <v>3035</v>
      </c>
      <c r="C334" s="296" t="s">
        <v>18</v>
      </c>
      <c r="D334" s="296">
        <v>1</v>
      </c>
      <c r="E334" s="501"/>
      <c r="F334" s="345"/>
    </row>
    <row r="335" spans="1:6" s="12" customFormat="1">
      <c r="A335" s="435"/>
      <c r="B335" s="6" t="s">
        <v>3036</v>
      </c>
      <c r="C335" s="296" t="s">
        <v>18</v>
      </c>
      <c r="D335" s="296">
        <v>2</v>
      </c>
      <c r="E335" s="501"/>
      <c r="F335" s="345"/>
    </row>
    <row r="336" spans="1:6" s="12" customFormat="1">
      <c r="A336" s="435"/>
      <c r="B336" s="6"/>
      <c r="C336" s="296"/>
      <c r="D336" s="296"/>
      <c r="E336" s="501"/>
      <c r="F336" s="501"/>
    </row>
    <row r="337" spans="1:6" s="12" customFormat="1" ht="30">
      <c r="A337" s="435">
        <f>SUM(A331:A336) +1</f>
        <v>7</v>
      </c>
      <c r="B337" s="6" t="s">
        <v>3037</v>
      </c>
      <c r="C337" s="296" t="s">
        <v>18</v>
      </c>
      <c r="D337" s="296">
        <v>6</v>
      </c>
      <c r="E337" s="501"/>
      <c r="F337" s="345"/>
    </row>
    <row r="338" spans="1:6" s="12" customFormat="1">
      <c r="A338" s="435"/>
      <c r="B338" s="6"/>
      <c r="C338" s="296"/>
      <c r="D338" s="296" t="s">
        <v>34</v>
      </c>
      <c r="E338" s="501"/>
      <c r="F338" s="501"/>
    </row>
    <row r="339" spans="1:6" s="12" customFormat="1" ht="75">
      <c r="A339" s="435">
        <f>SUM(A337:A338) +1</f>
        <v>8</v>
      </c>
      <c r="B339" s="6" t="s">
        <v>3038</v>
      </c>
      <c r="C339" s="296"/>
      <c r="D339" s="296"/>
      <c r="E339" s="501"/>
      <c r="F339" s="501"/>
    </row>
    <row r="340" spans="1:6" s="12" customFormat="1">
      <c r="A340" s="435"/>
      <c r="B340" s="6" t="s">
        <v>3039</v>
      </c>
      <c r="C340" s="296" t="s">
        <v>18</v>
      </c>
      <c r="D340" s="296">
        <v>6</v>
      </c>
      <c r="E340" s="501"/>
      <c r="F340" s="345"/>
    </row>
    <row r="341" spans="1:6" s="12" customFormat="1">
      <c r="A341" s="435"/>
      <c r="B341" s="6" t="s">
        <v>3040</v>
      </c>
      <c r="C341" s="296" t="s">
        <v>18</v>
      </c>
      <c r="D341" s="296">
        <v>4</v>
      </c>
      <c r="E341" s="501"/>
      <c r="F341" s="345"/>
    </row>
    <row r="342" spans="1:6" s="12" customFormat="1">
      <c r="A342" s="435"/>
      <c r="B342" s="6" t="s">
        <v>3041</v>
      </c>
      <c r="C342" s="296" t="s">
        <v>18</v>
      </c>
      <c r="D342" s="296">
        <v>9</v>
      </c>
      <c r="E342" s="501"/>
      <c r="F342" s="345"/>
    </row>
    <row r="343" spans="1:6" s="12" customFormat="1">
      <c r="A343" s="435"/>
      <c r="B343" s="6" t="s">
        <v>3042</v>
      </c>
      <c r="C343" s="296" t="s">
        <v>18</v>
      </c>
      <c r="D343" s="296">
        <v>1</v>
      </c>
      <c r="E343" s="501"/>
      <c r="F343" s="345"/>
    </row>
    <row r="344" spans="1:6" s="12" customFormat="1">
      <c r="A344" s="435"/>
      <c r="B344" s="6" t="s">
        <v>3043</v>
      </c>
      <c r="C344" s="296" t="s">
        <v>18</v>
      </c>
      <c r="D344" s="296">
        <v>4</v>
      </c>
      <c r="E344" s="501"/>
      <c r="F344" s="345"/>
    </row>
    <row r="345" spans="1:6" s="12" customFormat="1">
      <c r="A345" s="435"/>
      <c r="B345" s="6" t="s">
        <v>3044</v>
      </c>
      <c r="C345" s="296" t="s">
        <v>18</v>
      </c>
      <c r="D345" s="296">
        <v>2</v>
      </c>
      <c r="E345" s="501"/>
      <c r="F345" s="345"/>
    </row>
    <row r="346" spans="1:6" s="12" customFormat="1">
      <c r="A346" s="435"/>
      <c r="B346" s="6" t="s">
        <v>3045</v>
      </c>
      <c r="C346" s="296" t="s">
        <v>18</v>
      </c>
      <c r="D346" s="296">
        <v>20</v>
      </c>
      <c r="E346" s="501"/>
      <c r="F346" s="345"/>
    </row>
    <row r="347" spans="1:6" s="12" customFormat="1">
      <c r="A347" s="435"/>
      <c r="B347" s="6" t="s">
        <v>3046</v>
      </c>
      <c r="C347" s="296" t="s">
        <v>18</v>
      </c>
      <c r="D347" s="296">
        <v>6</v>
      </c>
      <c r="E347" s="501"/>
      <c r="F347" s="345"/>
    </row>
    <row r="348" spans="1:6" s="12" customFormat="1">
      <c r="A348" s="435"/>
      <c r="B348" s="6" t="s">
        <v>3047</v>
      </c>
      <c r="C348" s="296" t="s">
        <v>18</v>
      </c>
      <c r="D348" s="296">
        <v>5</v>
      </c>
      <c r="E348" s="501"/>
      <c r="F348" s="345"/>
    </row>
    <row r="349" spans="1:6" s="12" customFormat="1">
      <c r="A349" s="435"/>
      <c r="B349" s="6"/>
      <c r="C349" s="296"/>
      <c r="D349" s="296"/>
      <c r="E349" s="501"/>
      <c r="F349" s="501"/>
    </row>
    <row r="350" spans="1:6" s="12" customFormat="1" ht="60">
      <c r="A350" s="435">
        <v>9</v>
      </c>
      <c r="B350" s="6" t="s">
        <v>3048</v>
      </c>
      <c r="C350" s="296"/>
      <c r="D350" s="296" t="s">
        <v>34</v>
      </c>
      <c r="E350" s="501"/>
      <c r="F350" s="501"/>
    </row>
    <row r="351" spans="1:6" s="12" customFormat="1">
      <c r="A351" s="435"/>
      <c r="B351" s="6" t="s">
        <v>3049</v>
      </c>
      <c r="C351" s="296" t="s">
        <v>18</v>
      </c>
      <c r="D351" s="296">
        <v>57</v>
      </c>
      <c r="E351" s="501"/>
      <c r="F351" s="345"/>
    </row>
    <row r="352" spans="1:6" s="12" customFormat="1">
      <c r="A352" s="435"/>
      <c r="B352" s="6"/>
      <c r="C352" s="296"/>
      <c r="D352" s="296" t="s">
        <v>34</v>
      </c>
      <c r="E352" s="501"/>
      <c r="F352" s="501"/>
    </row>
    <row r="353" spans="1:6" s="12" customFormat="1" ht="30">
      <c r="A353" s="435">
        <f>SUM(A350:A352) +1</f>
        <v>10</v>
      </c>
      <c r="B353" s="6" t="s">
        <v>3050</v>
      </c>
      <c r="C353" s="296" t="s">
        <v>18</v>
      </c>
      <c r="D353" s="296">
        <v>57</v>
      </c>
      <c r="E353" s="501"/>
      <c r="F353" s="345"/>
    </row>
    <row r="354" spans="1:6" s="12" customFormat="1">
      <c r="A354" s="435"/>
      <c r="B354" s="6"/>
      <c r="C354" s="296"/>
      <c r="D354" s="296" t="s">
        <v>34</v>
      </c>
      <c r="E354" s="501"/>
      <c r="F354" s="501"/>
    </row>
    <row r="355" spans="1:6" s="12" customFormat="1" ht="45">
      <c r="A355" s="435">
        <f>SUM(A352:A354) +1</f>
        <v>11</v>
      </c>
      <c r="B355" s="6" t="s">
        <v>3051</v>
      </c>
      <c r="C355" s="296" t="s">
        <v>18</v>
      </c>
      <c r="D355" s="296">
        <v>57</v>
      </c>
      <c r="E355" s="501"/>
      <c r="F355" s="345"/>
    </row>
    <row r="356" spans="1:6" s="12" customFormat="1">
      <c r="A356" s="435"/>
      <c r="B356" s="6"/>
      <c r="C356" s="344"/>
      <c r="D356" s="344" t="s">
        <v>34</v>
      </c>
      <c r="E356" s="345"/>
      <c r="F356" s="345"/>
    </row>
    <row r="357" spans="1:6" s="12" customFormat="1" ht="60">
      <c r="A357" s="435">
        <v>12</v>
      </c>
      <c r="B357" s="6" t="s">
        <v>3052</v>
      </c>
      <c r="C357" s="344"/>
      <c r="D357" s="344" t="s">
        <v>34</v>
      </c>
      <c r="E357" s="345"/>
      <c r="F357" s="345"/>
    </row>
    <row r="358" spans="1:6" s="12" customFormat="1">
      <c r="A358" s="435"/>
      <c r="B358" s="511" t="s">
        <v>3005</v>
      </c>
      <c r="C358" s="344" t="s">
        <v>76</v>
      </c>
      <c r="D358" s="344">
        <v>2</v>
      </c>
      <c r="E358" s="345"/>
      <c r="F358" s="345"/>
    </row>
    <row r="359" spans="1:6" s="12" customFormat="1">
      <c r="A359" s="435"/>
      <c r="B359" s="6"/>
      <c r="C359" s="344"/>
      <c r="D359" s="344" t="s">
        <v>34</v>
      </c>
      <c r="E359" s="345"/>
      <c r="F359" s="345"/>
    </row>
    <row r="360" spans="1:6" s="12" customFormat="1" ht="45">
      <c r="A360" s="435">
        <v>13</v>
      </c>
      <c r="B360" s="6" t="s">
        <v>3053</v>
      </c>
      <c r="C360" s="344" t="s">
        <v>18</v>
      </c>
      <c r="D360" s="344">
        <v>6</v>
      </c>
      <c r="E360" s="345"/>
      <c r="F360" s="345"/>
    </row>
    <row r="361" spans="1:6" s="12" customFormat="1">
      <c r="A361" s="435"/>
      <c r="B361" s="6"/>
      <c r="C361" s="344"/>
      <c r="D361" s="344" t="s">
        <v>34</v>
      </c>
      <c r="E361" s="345"/>
      <c r="F361" s="345"/>
    </row>
    <row r="362" spans="1:6" s="12" customFormat="1" ht="75">
      <c r="A362" s="435">
        <v>14</v>
      </c>
      <c r="B362" s="6" t="s">
        <v>3014</v>
      </c>
      <c r="C362" s="296" t="s">
        <v>76</v>
      </c>
      <c r="D362" s="296">
        <v>2</v>
      </c>
      <c r="E362" s="501"/>
      <c r="F362" s="501"/>
    </row>
    <row r="363" spans="1:6" s="12" customFormat="1">
      <c r="A363" s="435"/>
      <c r="B363" s="6"/>
      <c r="C363" s="296"/>
      <c r="D363" s="296" t="s">
        <v>34</v>
      </c>
      <c r="E363" s="501"/>
      <c r="F363" s="501"/>
    </row>
    <row r="364" spans="1:6" s="12" customFormat="1">
      <c r="A364" s="435">
        <f>SUM(A362:A363) +1</f>
        <v>15</v>
      </c>
      <c r="B364" s="6" t="s">
        <v>3015</v>
      </c>
      <c r="C364" s="296" t="s">
        <v>76</v>
      </c>
      <c r="D364" s="296">
        <v>2</v>
      </c>
      <c r="E364" s="501"/>
      <c r="F364" s="501"/>
    </row>
    <row r="365" spans="1:6" s="12" customFormat="1">
      <c r="A365" s="435"/>
      <c r="B365" s="6"/>
      <c r="C365" s="296"/>
      <c r="D365" s="296" t="s">
        <v>34</v>
      </c>
      <c r="E365" s="501"/>
      <c r="F365" s="501"/>
    </row>
    <row r="366" spans="1:6" s="12" customFormat="1" ht="30">
      <c r="A366" s="435">
        <f>SUM(A363:A365) +1</f>
        <v>16</v>
      </c>
      <c r="B366" s="6" t="s">
        <v>2936</v>
      </c>
      <c r="C366" s="296" t="s">
        <v>76</v>
      </c>
      <c r="D366" s="296">
        <v>1</v>
      </c>
      <c r="E366" s="501"/>
      <c r="F366" s="501"/>
    </row>
    <row r="367" spans="1:6" s="12" customFormat="1">
      <c r="A367" s="435"/>
      <c r="B367" s="6"/>
      <c r="C367" s="296"/>
      <c r="D367" s="296" t="s">
        <v>34</v>
      </c>
      <c r="E367" s="501"/>
      <c r="F367" s="501"/>
    </row>
    <row r="368" spans="1:6" s="12" customFormat="1" ht="30">
      <c r="A368" s="435">
        <f>SUM(A365:A367) +1</f>
        <v>17</v>
      </c>
      <c r="B368" s="6" t="s">
        <v>2937</v>
      </c>
      <c r="C368" s="296" t="s">
        <v>76</v>
      </c>
      <c r="D368" s="296">
        <v>1</v>
      </c>
      <c r="E368" s="501"/>
      <c r="F368" s="501"/>
    </row>
    <row r="369" spans="1:6" s="12" customFormat="1">
      <c r="A369" s="435"/>
      <c r="B369" s="6"/>
      <c r="C369" s="296"/>
      <c r="D369" s="296" t="s">
        <v>34</v>
      </c>
      <c r="E369" s="501"/>
      <c r="F369" s="501"/>
    </row>
    <row r="370" spans="1:6" s="12" customFormat="1" ht="30">
      <c r="A370" s="435">
        <f>SUM(A367:A369) +1</f>
        <v>18</v>
      </c>
      <c r="B370" s="6" t="s">
        <v>2938</v>
      </c>
      <c r="C370" s="296" t="s">
        <v>76</v>
      </c>
      <c r="D370" s="296">
        <v>1</v>
      </c>
      <c r="E370" s="501"/>
      <c r="F370" s="501"/>
    </row>
    <row r="371" spans="1:6" s="12" customFormat="1">
      <c r="A371" s="570"/>
      <c r="B371" s="6"/>
      <c r="C371" s="296"/>
      <c r="D371" s="296"/>
      <c r="E371" s="501"/>
      <c r="F371" s="501"/>
    </row>
    <row r="372" spans="1:6" s="12" customFormat="1">
      <c r="A372" s="9" t="s">
        <v>2880</v>
      </c>
      <c r="B372" s="591" t="s">
        <v>278</v>
      </c>
      <c r="C372" s="579"/>
      <c r="D372" s="579" t="s">
        <v>34</v>
      </c>
      <c r="E372" s="595"/>
      <c r="F372" s="596"/>
    </row>
    <row r="373" spans="1:6">
      <c r="A373" s="512"/>
      <c r="B373" s="512"/>
      <c r="C373" s="512"/>
      <c r="D373" s="512"/>
      <c r="E373" s="512"/>
      <c r="F373" s="512"/>
    </row>
    <row r="375" spans="1:6">
      <c r="B375" s="514"/>
    </row>
    <row r="376" spans="1:6" s="12" customFormat="1">
      <c r="A376" s="435"/>
      <c r="B376" s="6"/>
      <c r="C376" s="296"/>
      <c r="D376" s="296"/>
      <c r="E376" s="501"/>
      <c r="F376" s="501"/>
    </row>
    <row r="377" spans="1:6" s="567" customFormat="1">
      <c r="A377" s="593" t="s">
        <v>2892</v>
      </c>
      <c r="B377" s="5" t="s">
        <v>3054</v>
      </c>
      <c r="C377" s="436"/>
      <c r="D377" s="436"/>
      <c r="E377" s="594"/>
      <c r="F377" s="594"/>
    </row>
    <row r="378" spans="1:6" s="12" customFormat="1">
      <c r="A378" s="570"/>
      <c r="B378" s="6"/>
      <c r="C378" s="296"/>
      <c r="D378" s="296"/>
      <c r="E378" s="501"/>
      <c r="F378" s="501"/>
    </row>
    <row r="379" spans="1:6" s="12" customFormat="1">
      <c r="A379" s="570"/>
      <c r="B379" s="6"/>
      <c r="C379" s="296"/>
      <c r="D379" s="296"/>
      <c r="E379" s="501"/>
      <c r="F379" s="501"/>
    </row>
    <row r="380" spans="1:6" s="12" customFormat="1" ht="60">
      <c r="A380" s="465">
        <v>1</v>
      </c>
      <c r="B380" s="446" t="s">
        <v>3055</v>
      </c>
    </row>
    <row r="381" spans="1:6" s="12" customFormat="1" ht="90">
      <c r="A381" s="465"/>
      <c r="B381" s="446" t="s">
        <v>3056</v>
      </c>
    </row>
    <row r="382" spans="1:6" s="12" customFormat="1" ht="180">
      <c r="A382" s="465"/>
      <c r="B382" s="446" t="s">
        <v>3057</v>
      </c>
    </row>
    <row r="383" spans="1:6" s="12" customFormat="1" ht="90">
      <c r="B383" s="446" t="s">
        <v>3058</v>
      </c>
    </row>
    <row r="384" spans="1:6" s="12" customFormat="1" ht="210">
      <c r="B384" s="446" t="s">
        <v>3059</v>
      </c>
    </row>
    <row r="385" spans="2:2" s="12" customFormat="1" ht="19.5" customHeight="1">
      <c r="B385" s="446"/>
    </row>
    <row r="386" spans="2:2" s="12" customFormat="1">
      <c r="B386" s="446" t="s">
        <v>3060</v>
      </c>
    </row>
    <row r="387" spans="2:2" s="12" customFormat="1" ht="30">
      <c r="B387" s="446" t="s">
        <v>3061</v>
      </c>
    </row>
    <row r="388" spans="2:2" s="12" customFormat="1">
      <c r="B388" s="446" t="s">
        <v>3062</v>
      </c>
    </row>
    <row r="389" spans="2:2" s="12" customFormat="1">
      <c r="B389" s="446" t="s">
        <v>3063</v>
      </c>
    </row>
    <row r="390" spans="2:2" s="12" customFormat="1">
      <c r="B390" s="446" t="s">
        <v>3064</v>
      </c>
    </row>
    <row r="391" spans="2:2" s="12" customFormat="1">
      <c r="B391" s="446" t="s">
        <v>3065</v>
      </c>
    </row>
    <row r="392" spans="2:2" s="12" customFormat="1" ht="19.5" customHeight="1">
      <c r="B392" s="446" t="s">
        <v>3066</v>
      </c>
    </row>
    <row r="393" spans="2:2" s="12" customFormat="1">
      <c r="B393" s="446" t="s">
        <v>3067</v>
      </c>
    </row>
    <row r="394" spans="2:2" s="12" customFormat="1">
      <c r="B394" s="446" t="s">
        <v>3068</v>
      </c>
    </row>
    <row r="395" spans="2:2" s="12" customFormat="1">
      <c r="B395" s="446" t="s">
        <v>3069</v>
      </c>
    </row>
    <row r="396" spans="2:2" s="12" customFormat="1">
      <c r="B396" s="446" t="s">
        <v>3070</v>
      </c>
    </row>
    <row r="397" spans="2:2" s="12" customFormat="1">
      <c r="B397" s="446" t="s">
        <v>3071</v>
      </c>
    </row>
    <row r="398" spans="2:2" s="12" customFormat="1">
      <c r="B398" s="446" t="s">
        <v>3072</v>
      </c>
    </row>
    <row r="399" spans="2:2" s="12" customFormat="1">
      <c r="B399" s="446" t="s">
        <v>3073</v>
      </c>
    </row>
    <row r="400" spans="2:2" s="12" customFormat="1">
      <c r="B400" s="446" t="s">
        <v>3074</v>
      </c>
    </row>
    <row r="401" spans="1:6" s="12" customFormat="1">
      <c r="B401" s="446" t="s">
        <v>3075</v>
      </c>
    </row>
    <row r="402" spans="1:6" s="12" customFormat="1">
      <c r="B402" s="446" t="s">
        <v>3076</v>
      </c>
    </row>
    <row r="403" spans="1:6" s="12" customFormat="1">
      <c r="B403" s="446" t="s">
        <v>3077</v>
      </c>
    </row>
    <row r="404" spans="1:6" s="12" customFormat="1">
      <c r="B404" s="446" t="s">
        <v>3078</v>
      </c>
    </row>
    <row r="405" spans="1:6" s="12" customFormat="1">
      <c r="B405" s="446" t="s">
        <v>3079</v>
      </c>
    </row>
    <row r="406" spans="1:6" s="12" customFormat="1" ht="30">
      <c r="B406" s="446" t="s">
        <v>3080</v>
      </c>
    </row>
    <row r="407" spans="1:6" s="12" customFormat="1" ht="30">
      <c r="B407" s="446" t="s">
        <v>3081</v>
      </c>
    </row>
    <row r="408" spans="1:6" s="12" customFormat="1">
      <c r="B408" s="446" t="s">
        <v>3082</v>
      </c>
    </row>
    <row r="409" spans="1:6" s="12" customFormat="1">
      <c r="B409" s="446" t="s">
        <v>3083</v>
      </c>
    </row>
    <row r="410" spans="1:6" s="12" customFormat="1" ht="19.5" customHeight="1">
      <c r="B410" s="446" t="s">
        <v>3084</v>
      </c>
      <c r="C410" s="344" t="s">
        <v>18</v>
      </c>
      <c r="D410" s="344">
        <v>2</v>
      </c>
      <c r="E410" s="518"/>
      <c r="F410" s="345"/>
    </row>
    <row r="411" spans="1:6" s="12" customFormat="1">
      <c r="A411" s="435"/>
      <c r="B411" s="6"/>
      <c r="C411" s="296"/>
      <c r="D411" s="296"/>
      <c r="E411" s="501"/>
      <c r="F411" s="501"/>
    </row>
    <row r="412" spans="1:6" s="12" customFormat="1" ht="90">
      <c r="A412" s="465">
        <v>2</v>
      </c>
      <c r="B412" s="446" t="s">
        <v>3085</v>
      </c>
      <c r="C412" s="344" t="s">
        <v>76</v>
      </c>
      <c r="D412" s="344">
        <v>1</v>
      </c>
      <c r="E412" s="518"/>
      <c r="F412" s="345"/>
    </row>
    <row r="413" spans="1:6" s="12" customFormat="1">
      <c r="A413" s="465"/>
      <c r="B413" s="446"/>
      <c r="C413" s="344"/>
      <c r="D413" s="344"/>
      <c r="E413" s="518"/>
      <c r="F413" s="345"/>
    </row>
    <row r="414" spans="1:6" s="12" customFormat="1">
      <c r="A414" s="465">
        <v>3</v>
      </c>
      <c r="B414" s="446" t="s">
        <v>3086</v>
      </c>
      <c r="E414" s="518"/>
      <c r="F414" s="345"/>
    </row>
    <row r="415" spans="1:6" s="12" customFormat="1" ht="300">
      <c r="B415" s="446" t="s">
        <v>3087</v>
      </c>
      <c r="E415" s="518"/>
      <c r="F415" s="345"/>
    </row>
    <row r="416" spans="1:6" s="12" customFormat="1">
      <c r="B416" s="446"/>
      <c r="E416" s="518"/>
      <c r="F416" s="345"/>
    </row>
    <row r="417" spans="2:6" s="12" customFormat="1">
      <c r="B417" s="446" t="s">
        <v>3088</v>
      </c>
      <c r="E417" s="518"/>
      <c r="F417" s="345"/>
    </row>
    <row r="418" spans="2:6" s="12" customFormat="1">
      <c r="B418" s="446" t="s">
        <v>3089</v>
      </c>
      <c r="E418" s="518"/>
      <c r="F418" s="345"/>
    </row>
    <row r="419" spans="2:6" s="12" customFormat="1">
      <c r="B419" s="446" t="s">
        <v>3090</v>
      </c>
      <c r="E419" s="518"/>
      <c r="F419" s="345"/>
    </row>
    <row r="420" spans="2:6" s="12" customFormat="1">
      <c r="B420" s="446" t="s">
        <v>3091</v>
      </c>
      <c r="E420" s="518"/>
      <c r="F420" s="345"/>
    </row>
    <row r="421" spans="2:6" s="12" customFormat="1">
      <c r="B421" s="446" t="s">
        <v>3092</v>
      </c>
      <c r="E421" s="518"/>
      <c r="F421" s="345"/>
    </row>
    <row r="422" spans="2:6" s="12" customFormat="1">
      <c r="B422" s="446" t="s">
        <v>3093</v>
      </c>
      <c r="E422" s="518"/>
      <c r="F422" s="345"/>
    </row>
    <row r="423" spans="2:6" s="12" customFormat="1">
      <c r="B423" s="446" t="s">
        <v>3094</v>
      </c>
      <c r="E423" s="518"/>
      <c r="F423" s="345"/>
    </row>
    <row r="424" spans="2:6" s="12" customFormat="1">
      <c r="B424" s="446" t="s">
        <v>3095</v>
      </c>
      <c r="E424" s="518"/>
      <c r="F424" s="345"/>
    </row>
    <row r="425" spans="2:6" s="12" customFormat="1">
      <c r="B425" s="446" t="s">
        <v>3096</v>
      </c>
      <c r="C425" s="344"/>
      <c r="D425" s="344"/>
      <c r="E425" s="518"/>
      <c r="F425" s="345"/>
    </row>
    <row r="426" spans="2:6" s="12" customFormat="1">
      <c r="B426" s="446" t="s">
        <v>3097</v>
      </c>
      <c r="C426" s="344"/>
      <c r="D426" s="344"/>
      <c r="E426" s="518"/>
      <c r="F426" s="345"/>
    </row>
    <row r="427" spans="2:6" s="12" customFormat="1">
      <c r="B427" s="446" t="s">
        <v>3098</v>
      </c>
      <c r="C427" s="344" t="s">
        <v>18</v>
      </c>
      <c r="D427" s="344">
        <v>2</v>
      </c>
      <c r="E427" s="518"/>
      <c r="F427" s="345"/>
    </row>
    <row r="428" spans="2:6" s="12" customFormat="1">
      <c r="B428" s="446"/>
      <c r="E428" s="518"/>
      <c r="F428" s="345"/>
    </row>
    <row r="429" spans="2:6" s="12" customFormat="1">
      <c r="B429" s="446" t="s">
        <v>3099</v>
      </c>
      <c r="E429" s="518"/>
      <c r="F429" s="345"/>
    </row>
    <row r="430" spans="2:6" s="12" customFormat="1">
      <c r="B430" s="446" t="s">
        <v>3089</v>
      </c>
      <c r="E430" s="518"/>
      <c r="F430" s="345"/>
    </row>
    <row r="431" spans="2:6" s="12" customFormat="1">
      <c r="B431" s="446" t="s">
        <v>3090</v>
      </c>
      <c r="E431" s="518"/>
      <c r="F431" s="345"/>
    </row>
    <row r="432" spans="2:6" s="12" customFormat="1">
      <c r="B432" s="446" t="s">
        <v>3100</v>
      </c>
      <c r="E432" s="518"/>
      <c r="F432" s="345"/>
    </row>
    <row r="433" spans="2:6" s="12" customFormat="1">
      <c r="B433" s="446" t="s">
        <v>3101</v>
      </c>
      <c r="E433" s="518"/>
      <c r="F433" s="345"/>
    </row>
    <row r="434" spans="2:6" s="12" customFormat="1">
      <c r="B434" s="446" t="s">
        <v>3102</v>
      </c>
      <c r="E434" s="518"/>
      <c r="F434" s="345"/>
    </row>
    <row r="435" spans="2:6" s="12" customFormat="1">
      <c r="B435" s="446" t="s">
        <v>3094</v>
      </c>
      <c r="E435" s="518"/>
      <c r="F435" s="345"/>
    </row>
    <row r="436" spans="2:6" s="12" customFormat="1">
      <c r="B436" s="446" t="s">
        <v>3095</v>
      </c>
      <c r="E436" s="518"/>
      <c r="F436" s="345"/>
    </row>
    <row r="437" spans="2:6" s="12" customFormat="1">
      <c r="B437" s="446" t="s">
        <v>3103</v>
      </c>
      <c r="C437" s="344"/>
      <c r="D437" s="344"/>
      <c r="E437" s="518"/>
      <c r="F437" s="345"/>
    </row>
    <row r="438" spans="2:6" s="12" customFormat="1">
      <c r="B438" s="446" t="s">
        <v>3097</v>
      </c>
      <c r="C438" s="344"/>
      <c r="D438" s="344"/>
      <c r="E438" s="518"/>
      <c r="F438" s="345"/>
    </row>
    <row r="439" spans="2:6" s="12" customFormat="1">
      <c r="B439" s="446" t="s">
        <v>3098</v>
      </c>
      <c r="C439" s="344" t="s">
        <v>18</v>
      </c>
      <c r="D439" s="344">
        <v>2</v>
      </c>
      <c r="E439" s="518"/>
      <c r="F439" s="345"/>
    </row>
    <row r="440" spans="2:6" s="12" customFormat="1">
      <c r="B440" s="446"/>
      <c r="C440" s="344"/>
      <c r="D440" s="344"/>
      <c r="E440" s="518"/>
      <c r="F440" s="345"/>
    </row>
    <row r="441" spans="2:6" s="12" customFormat="1">
      <c r="B441" s="446" t="s">
        <v>3104</v>
      </c>
      <c r="E441" s="518"/>
      <c r="F441" s="345"/>
    </row>
    <row r="442" spans="2:6" s="12" customFormat="1">
      <c r="B442" s="446" t="s">
        <v>3089</v>
      </c>
      <c r="E442" s="518"/>
      <c r="F442" s="345"/>
    </row>
    <row r="443" spans="2:6" s="12" customFormat="1">
      <c r="B443" s="446" t="s">
        <v>3090</v>
      </c>
      <c r="E443" s="518"/>
      <c r="F443" s="345"/>
    </row>
    <row r="444" spans="2:6" s="12" customFormat="1">
      <c r="B444" s="446" t="s">
        <v>3105</v>
      </c>
      <c r="E444" s="518"/>
      <c r="F444" s="345"/>
    </row>
    <row r="445" spans="2:6" s="12" customFormat="1">
      <c r="B445" s="446" t="s">
        <v>3106</v>
      </c>
      <c r="E445" s="518"/>
      <c r="F445" s="345"/>
    </row>
    <row r="446" spans="2:6" s="12" customFormat="1">
      <c r="B446" s="446" t="s">
        <v>3107</v>
      </c>
      <c r="E446" s="518"/>
      <c r="F446" s="345"/>
    </row>
    <row r="447" spans="2:6" s="12" customFormat="1">
      <c r="B447" s="446" t="s">
        <v>3094</v>
      </c>
      <c r="E447" s="518"/>
      <c r="F447" s="345"/>
    </row>
    <row r="448" spans="2:6" s="12" customFormat="1">
      <c r="B448" s="446" t="s">
        <v>3095</v>
      </c>
      <c r="E448" s="518"/>
      <c r="F448" s="345"/>
    </row>
    <row r="449" spans="2:6" s="12" customFormat="1">
      <c r="B449" s="446" t="s">
        <v>3103</v>
      </c>
      <c r="E449" s="518"/>
      <c r="F449" s="345"/>
    </row>
    <row r="450" spans="2:6" s="12" customFormat="1">
      <c r="B450" s="446" t="s">
        <v>3097</v>
      </c>
      <c r="E450" s="518"/>
      <c r="F450" s="345"/>
    </row>
    <row r="451" spans="2:6" s="12" customFormat="1">
      <c r="B451" s="446" t="s">
        <v>3098</v>
      </c>
      <c r="C451" s="344" t="s">
        <v>18</v>
      </c>
      <c r="D451" s="344">
        <v>6</v>
      </c>
      <c r="E451" s="518"/>
      <c r="F451" s="345"/>
    </row>
    <row r="452" spans="2:6" s="12" customFormat="1">
      <c r="B452" s="446"/>
      <c r="E452" s="518"/>
      <c r="F452" s="345"/>
    </row>
    <row r="453" spans="2:6" s="12" customFormat="1">
      <c r="B453" s="446" t="s">
        <v>3108</v>
      </c>
      <c r="E453" s="518"/>
      <c r="F453" s="345"/>
    </row>
    <row r="454" spans="2:6" s="12" customFormat="1">
      <c r="B454" s="446" t="s">
        <v>3089</v>
      </c>
      <c r="E454" s="518"/>
      <c r="F454" s="345"/>
    </row>
    <row r="455" spans="2:6" s="12" customFormat="1">
      <c r="B455" s="446" t="s">
        <v>3090</v>
      </c>
      <c r="E455" s="518"/>
      <c r="F455" s="345"/>
    </row>
    <row r="456" spans="2:6" s="12" customFormat="1">
      <c r="B456" s="446" t="s">
        <v>3109</v>
      </c>
      <c r="E456" s="518"/>
      <c r="F456" s="345"/>
    </row>
    <row r="457" spans="2:6" s="12" customFormat="1">
      <c r="B457" s="446" t="s">
        <v>3110</v>
      </c>
      <c r="E457" s="518"/>
      <c r="F457" s="345"/>
    </row>
    <row r="458" spans="2:6" s="12" customFormat="1">
      <c r="B458" s="446" t="s">
        <v>3111</v>
      </c>
      <c r="E458" s="518"/>
      <c r="F458" s="345"/>
    </row>
    <row r="459" spans="2:6" s="12" customFormat="1">
      <c r="B459" s="446" t="s">
        <v>3094</v>
      </c>
      <c r="E459" s="518"/>
      <c r="F459" s="345"/>
    </row>
    <row r="460" spans="2:6" s="12" customFormat="1">
      <c r="B460" s="446" t="s">
        <v>3095</v>
      </c>
      <c r="E460" s="518"/>
      <c r="F460" s="345"/>
    </row>
    <row r="461" spans="2:6" s="12" customFormat="1">
      <c r="B461" s="446" t="s">
        <v>3112</v>
      </c>
      <c r="C461" s="344"/>
      <c r="D461" s="344"/>
      <c r="E461" s="518"/>
      <c r="F461" s="345"/>
    </row>
    <row r="462" spans="2:6" s="12" customFormat="1">
      <c r="B462" s="446" t="s">
        <v>3097</v>
      </c>
      <c r="E462" s="518"/>
      <c r="F462" s="345"/>
    </row>
    <row r="463" spans="2:6" s="12" customFormat="1">
      <c r="B463" s="446" t="s">
        <v>3098</v>
      </c>
      <c r="C463" s="344" t="s">
        <v>18</v>
      </c>
      <c r="D463" s="344">
        <v>9</v>
      </c>
      <c r="E463" s="518"/>
      <c r="F463" s="345"/>
    </row>
    <row r="464" spans="2:6" s="12" customFormat="1">
      <c r="B464" s="446"/>
      <c r="E464" s="518"/>
      <c r="F464" s="345"/>
    </row>
    <row r="465" spans="2:6" s="12" customFormat="1" ht="150">
      <c r="B465" s="446" t="s">
        <v>3113</v>
      </c>
      <c r="E465" s="518"/>
      <c r="F465" s="345"/>
    </row>
    <row r="466" spans="2:6" s="12" customFormat="1">
      <c r="B466" s="446"/>
      <c r="E466" s="518"/>
      <c r="F466" s="345"/>
    </row>
    <row r="467" spans="2:6" s="12" customFormat="1">
      <c r="B467" s="446" t="s">
        <v>3114</v>
      </c>
      <c r="E467" s="518"/>
      <c r="F467" s="345"/>
    </row>
    <row r="468" spans="2:6" s="12" customFormat="1">
      <c r="B468" s="446" t="s">
        <v>3089</v>
      </c>
      <c r="E468" s="518"/>
      <c r="F468" s="345"/>
    </row>
    <row r="469" spans="2:6" s="12" customFormat="1">
      <c r="B469" s="446" t="s">
        <v>3115</v>
      </c>
      <c r="E469" s="518"/>
      <c r="F469" s="345"/>
    </row>
    <row r="470" spans="2:6" s="12" customFormat="1">
      <c r="B470" s="446" t="s">
        <v>3116</v>
      </c>
      <c r="E470" s="518"/>
      <c r="F470" s="345"/>
    </row>
    <row r="471" spans="2:6" s="12" customFormat="1">
      <c r="B471" s="446" t="s">
        <v>3106</v>
      </c>
      <c r="E471" s="518"/>
      <c r="F471" s="345"/>
    </row>
    <row r="472" spans="2:6" s="12" customFormat="1">
      <c r="B472" s="446" t="s">
        <v>3117</v>
      </c>
      <c r="E472" s="518"/>
      <c r="F472" s="345"/>
    </row>
    <row r="473" spans="2:6" s="12" customFormat="1">
      <c r="B473" s="446" t="s">
        <v>3118</v>
      </c>
      <c r="E473" s="518"/>
      <c r="F473" s="345"/>
    </row>
    <row r="474" spans="2:6" s="12" customFormat="1">
      <c r="B474" s="446" t="s">
        <v>3119</v>
      </c>
      <c r="E474" s="518"/>
      <c r="F474" s="345"/>
    </row>
    <row r="475" spans="2:6" s="12" customFormat="1">
      <c r="B475" s="446" t="s">
        <v>3120</v>
      </c>
      <c r="E475" s="518"/>
      <c r="F475" s="345"/>
    </row>
    <row r="476" spans="2:6" s="12" customFormat="1">
      <c r="B476" s="446" t="s">
        <v>3121</v>
      </c>
      <c r="E476" s="518"/>
      <c r="F476" s="345"/>
    </row>
    <row r="477" spans="2:6" s="12" customFormat="1">
      <c r="B477" s="446" t="s">
        <v>3122</v>
      </c>
      <c r="E477" s="518"/>
      <c r="F477" s="345"/>
    </row>
    <row r="478" spans="2:6" s="12" customFormat="1">
      <c r="B478" s="446" t="s">
        <v>3123</v>
      </c>
      <c r="E478" s="518"/>
      <c r="F478" s="345"/>
    </row>
    <row r="479" spans="2:6" s="12" customFormat="1" ht="30">
      <c r="B479" s="446" t="s">
        <v>3124</v>
      </c>
      <c r="C479" s="344" t="s">
        <v>18</v>
      </c>
      <c r="D479" s="344">
        <v>6</v>
      </c>
      <c r="E479" s="518"/>
      <c r="F479" s="345"/>
    </row>
    <row r="480" spans="2:6" s="12" customFormat="1">
      <c r="B480" s="446"/>
      <c r="C480" s="344"/>
      <c r="D480" s="344"/>
      <c r="E480" s="518"/>
      <c r="F480" s="345"/>
    </row>
    <row r="481" spans="1:6" s="12" customFormat="1">
      <c r="B481" s="446" t="s">
        <v>3125</v>
      </c>
      <c r="E481" s="518"/>
      <c r="F481" s="345"/>
    </row>
    <row r="482" spans="1:6" s="12" customFormat="1">
      <c r="B482" s="446" t="s">
        <v>3089</v>
      </c>
      <c r="E482" s="518"/>
      <c r="F482" s="345"/>
    </row>
    <row r="483" spans="1:6" s="12" customFormat="1">
      <c r="B483" s="446" t="s">
        <v>3115</v>
      </c>
      <c r="E483" s="518"/>
      <c r="F483" s="345"/>
    </row>
    <row r="484" spans="1:6" s="12" customFormat="1">
      <c r="B484" s="446" t="s">
        <v>3126</v>
      </c>
      <c r="E484" s="518"/>
      <c r="F484" s="345"/>
    </row>
    <row r="485" spans="1:6" s="12" customFormat="1">
      <c r="B485" s="446" t="s">
        <v>3110</v>
      </c>
      <c r="E485" s="518"/>
      <c r="F485" s="345"/>
    </row>
    <row r="486" spans="1:6" s="12" customFormat="1">
      <c r="B486" s="446" t="s">
        <v>3127</v>
      </c>
      <c r="E486" s="518"/>
      <c r="F486" s="345"/>
    </row>
    <row r="487" spans="1:6" s="12" customFormat="1">
      <c r="B487" s="446" t="s">
        <v>3118</v>
      </c>
      <c r="E487" s="518"/>
      <c r="F487" s="345"/>
    </row>
    <row r="488" spans="1:6" s="12" customFormat="1">
      <c r="B488" s="446" t="s">
        <v>3119</v>
      </c>
      <c r="E488" s="518"/>
      <c r="F488" s="345"/>
    </row>
    <row r="489" spans="1:6" s="12" customFormat="1">
      <c r="B489" s="446" t="s">
        <v>3120</v>
      </c>
      <c r="E489" s="518"/>
      <c r="F489" s="345"/>
    </row>
    <row r="490" spans="1:6" s="12" customFormat="1">
      <c r="B490" s="446" t="s">
        <v>3128</v>
      </c>
      <c r="E490" s="518"/>
      <c r="F490" s="345"/>
    </row>
    <row r="491" spans="1:6" s="12" customFormat="1">
      <c r="B491" s="446" t="s">
        <v>3122</v>
      </c>
      <c r="E491" s="518"/>
      <c r="F491" s="345"/>
    </row>
    <row r="492" spans="1:6" s="12" customFormat="1">
      <c r="B492" s="446" t="s">
        <v>3123</v>
      </c>
      <c r="E492" s="518"/>
      <c r="F492" s="345"/>
    </row>
    <row r="493" spans="1:6" s="12" customFormat="1" ht="30">
      <c r="B493" s="446" t="s">
        <v>3124</v>
      </c>
      <c r="C493" s="344" t="s">
        <v>18</v>
      </c>
      <c r="D493" s="344">
        <v>4</v>
      </c>
      <c r="E493" s="518"/>
      <c r="F493" s="345"/>
    </row>
    <row r="494" spans="1:6" s="12" customFormat="1">
      <c r="B494" s="446"/>
      <c r="C494" s="344"/>
      <c r="D494" s="344"/>
      <c r="E494" s="518"/>
      <c r="F494" s="345"/>
    </row>
    <row r="495" spans="1:6" s="12" customFormat="1" ht="165">
      <c r="A495" s="465">
        <v>4</v>
      </c>
      <c r="B495" s="446" t="s">
        <v>3129</v>
      </c>
      <c r="C495" s="344" t="s">
        <v>18</v>
      </c>
      <c r="D495" s="344">
        <v>15</v>
      </c>
      <c r="E495" s="518"/>
      <c r="F495" s="345"/>
    </row>
    <row r="496" spans="1:6" s="12" customFormat="1">
      <c r="A496" s="432"/>
      <c r="E496" s="518"/>
      <c r="F496" s="345"/>
    </row>
    <row r="497" spans="1:6" s="12" customFormat="1">
      <c r="A497" s="465">
        <v>5</v>
      </c>
      <c r="B497" s="446" t="s">
        <v>3130</v>
      </c>
      <c r="C497" s="344"/>
      <c r="D497" s="344"/>
      <c r="E497" s="518"/>
      <c r="F497" s="345"/>
    </row>
    <row r="498" spans="1:6" s="12" customFormat="1" ht="75">
      <c r="A498" s="465"/>
      <c r="B498" s="446" t="s">
        <v>3131</v>
      </c>
      <c r="C498" s="344"/>
      <c r="D498" s="344"/>
      <c r="E498" s="518"/>
      <c r="F498" s="345"/>
    </row>
    <row r="499" spans="1:6" s="12" customFormat="1" ht="120">
      <c r="A499" s="432"/>
      <c r="B499" s="446" t="s">
        <v>3132</v>
      </c>
      <c r="E499" s="518"/>
      <c r="F499" s="345"/>
    </row>
    <row r="500" spans="1:6" s="12" customFormat="1" ht="45">
      <c r="A500" s="465"/>
      <c r="B500" s="446" t="s">
        <v>3133</v>
      </c>
      <c r="C500" s="344"/>
      <c r="D500" s="344"/>
      <c r="E500" s="518"/>
      <c r="F500" s="345"/>
    </row>
    <row r="501" spans="1:6" s="12" customFormat="1" ht="60">
      <c r="A501" s="432"/>
      <c r="B501" s="446" t="s">
        <v>3134</v>
      </c>
      <c r="E501" s="518"/>
      <c r="F501" s="345"/>
    </row>
    <row r="502" spans="1:6" s="12" customFormat="1" ht="30">
      <c r="A502" s="465"/>
      <c r="B502" s="446" t="s">
        <v>3135</v>
      </c>
      <c r="C502" s="344"/>
      <c r="D502" s="344"/>
      <c r="E502" s="518"/>
      <c r="F502" s="345"/>
    </row>
    <row r="503" spans="1:6" s="12" customFormat="1" ht="30">
      <c r="A503" s="432"/>
      <c r="B503" s="446" t="s">
        <v>3136</v>
      </c>
      <c r="E503" s="518"/>
      <c r="F503" s="345"/>
    </row>
    <row r="504" spans="1:6" s="12" customFormat="1" ht="60">
      <c r="A504" s="465"/>
      <c r="B504" s="446" t="s">
        <v>3137</v>
      </c>
      <c r="C504" s="344"/>
      <c r="D504" s="344"/>
      <c r="E504" s="518"/>
      <c r="F504" s="345"/>
    </row>
    <row r="505" spans="1:6" s="12" customFormat="1">
      <c r="A505" s="432"/>
      <c r="B505" s="446" t="s">
        <v>3138</v>
      </c>
      <c r="E505" s="518"/>
      <c r="F505" s="345"/>
    </row>
    <row r="506" spans="1:6" s="12" customFormat="1">
      <c r="A506" s="465"/>
      <c r="B506" s="446" t="s">
        <v>3139</v>
      </c>
      <c r="C506" s="344"/>
      <c r="D506" s="344"/>
      <c r="E506" s="518"/>
      <c r="F506" s="345"/>
    </row>
    <row r="507" spans="1:6" s="12" customFormat="1">
      <c r="A507" s="432"/>
      <c r="B507" s="446" t="s">
        <v>3140</v>
      </c>
      <c r="E507" s="518"/>
      <c r="F507" s="345"/>
    </row>
    <row r="508" spans="1:6" s="12" customFormat="1">
      <c r="A508" s="465"/>
      <c r="B508" s="446" t="s">
        <v>3141</v>
      </c>
      <c r="C508" s="344"/>
      <c r="D508" s="344"/>
      <c r="E508" s="518"/>
      <c r="F508" s="345"/>
    </row>
    <row r="509" spans="1:6" s="12" customFormat="1">
      <c r="A509" s="432"/>
      <c r="B509" s="446" t="s">
        <v>3142</v>
      </c>
      <c r="E509" s="518"/>
      <c r="F509" s="345"/>
    </row>
    <row r="510" spans="1:6" s="12" customFormat="1">
      <c r="A510" s="465"/>
      <c r="B510" s="446" t="s">
        <v>3143</v>
      </c>
      <c r="C510" s="344" t="s">
        <v>18</v>
      </c>
      <c r="D510" s="344">
        <v>1</v>
      </c>
      <c r="E510" s="518"/>
      <c r="F510" s="345"/>
    </row>
    <row r="511" spans="1:6" s="12" customFormat="1">
      <c r="A511" s="432"/>
      <c r="B511" s="446"/>
      <c r="E511" s="518"/>
      <c r="F511" s="345"/>
    </row>
    <row r="512" spans="1:6" s="12" customFormat="1" ht="15.75" customHeight="1">
      <c r="A512" s="465">
        <v>6</v>
      </c>
      <c r="B512" s="446" t="s">
        <v>2969</v>
      </c>
      <c r="E512" s="518"/>
      <c r="F512" s="345"/>
    </row>
    <row r="513" spans="1:6" s="12" customFormat="1" ht="60">
      <c r="A513" s="465"/>
      <c r="B513" s="446" t="s">
        <v>3144</v>
      </c>
      <c r="E513" s="518"/>
      <c r="F513" s="345"/>
    </row>
    <row r="514" spans="1:6" s="12" customFormat="1" ht="45">
      <c r="A514" s="465"/>
      <c r="B514" s="446" t="s">
        <v>3145</v>
      </c>
      <c r="E514" s="518"/>
      <c r="F514" s="345"/>
    </row>
    <row r="515" spans="1:6" s="12" customFormat="1">
      <c r="A515" s="465"/>
      <c r="B515" s="446" t="s">
        <v>3146</v>
      </c>
      <c r="E515" s="518"/>
      <c r="F515" s="345"/>
    </row>
    <row r="516" spans="1:6" s="12" customFormat="1">
      <c r="A516" s="465"/>
      <c r="B516" s="446" t="s">
        <v>3147</v>
      </c>
      <c r="C516" s="344" t="s">
        <v>76</v>
      </c>
      <c r="D516" s="344">
        <v>9</v>
      </c>
      <c r="E516" s="518"/>
      <c r="F516" s="345"/>
    </row>
    <row r="517" spans="1:6" s="12" customFormat="1">
      <c r="A517" s="465"/>
      <c r="B517" s="446" t="s">
        <v>3148</v>
      </c>
      <c r="C517" s="344" t="s">
        <v>76</v>
      </c>
      <c r="D517" s="344">
        <v>12</v>
      </c>
      <c r="E517" s="518"/>
      <c r="F517" s="345"/>
    </row>
    <row r="518" spans="1:6" s="12" customFormat="1">
      <c r="A518" s="465"/>
      <c r="B518" s="446" t="s">
        <v>3149</v>
      </c>
      <c r="C518" s="344" t="s">
        <v>76</v>
      </c>
      <c r="D518" s="344">
        <v>6</v>
      </c>
      <c r="E518" s="518"/>
      <c r="F518" s="345"/>
    </row>
    <row r="519" spans="1:6" s="12" customFormat="1" ht="30">
      <c r="A519" s="465"/>
      <c r="B519" s="446" t="s">
        <v>3150</v>
      </c>
      <c r="C519" s="344"/>
      <c r="D519" s="344"/>
      <c r="E519" s="518"/>
      <c r="F519" s="345"/>
    </row>
    <row r="520" spans="1:6" s="12" customFormat="1">
      <c r="A520" s="465"/>
      <c r="B520" s="446"/>
      <c r="C520" s="344"/>
      <c r="D520" s="344"/>
      <c r="E520" s="518"/>
      <c r="F520" s="345"/>
    </row>
    <row r="521" spans="1:6" s="12" customFormat="1" ht="90">
      <c r="A521" s="465">
        <v>7</v>
      </c>
      <c r="B521" s="446" t="s">
        <v>3151</v>
      </c>
      <c r="D521" s="344" t="s">
        <v>34</v>
      </c>
      <c r="E521" s="518"/>
      <c r="F521" s="345"/>
    </row>
    <row r="522" spans="1:6" s="12" customFormat="1">
      <c r="A522" s="465"/>
      <c r="B522" s="446" t="s">
        <v>3152</v>
      </c>
      <c r="C522" s="344" t="s">
        <v>280</v>
      </c>
      <c r="D522" s="344">
        <v>144</v>
      </c>
      <c r="E522" s="518"/>
      <c r="F522" s="345"/>
    </row>
    <row r="523" spans="1:6" s="12" customFormat="1">
      <c r="A523" s="465"/>
      <c r="B523" s="446" t="s">
        <v>3153</v>
      </c>
      <c r="C523" s="344" t="s">
        <v>280</v>
      </c>
      <c r="D523" s="344">
        <v>588</v>
      </c>
      <c r="E523" s="518"/>
      <c r="F523" s="345"/>
    </row>
    <row r="524" spans="1:6" s="12" customFormat="1">
      <c r="A524" s="465"/>
      <c r="B524" s="446" t="s">
        <v>3154</v>
      </c>
      <c r="C524" s="344" t="s">
        <v>280</v>
      </c>
      <c r="D524" s="344">
        <v>84</v>
      </c>
      <c r="E524" s="518"/>
      <c r="F524" s="345"/>
    </row>
    <row r="525" spans="1:6" s="12" customFormat="1">
      <c r="A525" s="465"/>
      <c r="B525" s="446" t="s">
        <v>3155</v>
      </c>
      <c r="C525" s="344" t="s">
        <v>280</v>
      </c>
      <c r="D525" s="344">
        <v>48</v>
      </c>
      <c r="E525" s="518"/>
      <c r="F525" s="345"/>
    </row>
    <row r="526" spans="1:6" s="12" customFormat="1">
      <c r="A526" s="465"/>
      <c r="B526" s="446" t="s">
        <v>3156</v>
      </c>
      <c r="C526" s="344" t="s">
        <v>280</v>
      </c>
      <c r="D526" s="344">
        <v>48</v>
      </c>
      <c r="E526" s="518"/>
      <c r="F526" s="345"/>
    </row>
    <row r="527" spans="1:6" s="12" customFormat="1">
      <c r="A527" s="465"/>
      <c r="B527" s="446" t="s">
        <v>3157</v>
      </c>
      <c r="C527" s="344" t="s">
        <v>280</v>
      </c>
      <c r="D527" s="344">
        <v>72</v>
      </c>
      <c r="E527" s="518"/>
      <c r="F527" s="345"/>
    </row>
    <row r="528" spans="1:6" s="12" customFormat="1">
      <c r="A528" s="465"/>
      <c r="B528" s="446" t="s">
        <v>3158</v>
      </c>
      <c r="C528" s="344" t="s">
        <v>280</v>
      </c>
      <c r="D528" s="344">
        <v>84</v>
      </c>
      <c r="E528" s="518"/>
      <c r="F528" s="345"/>
    </row>
    <row r="529" spans="1:6" s="12" customFormat="1">
      <c r="A529" s="465"/>
      <c r="E529" s="518"/>
      <c r="F529" s="345"/>
    </row>
    <row r="530" spans="1:6" s="12" customFormat="1" ht="60">
      <c r="A530" s="465">
        <v>8</v>
      </c>
      <c r="B530" s="446" t="s">
        <v>3159</v>
      </c>
      <c r="D530" s="344" t="s">
        <v>34</v>
      </c>
      <c r="E530" s="518"/>
      <c r="F530" s="345"/>
    </row>
    <row r="531" spans="1:6" s="12" customFormat="1" ht="45">
      <c r="A531" s="465"/>
      <c r="B531" s="446" t="s">
        <v>3145</v>
      </c>
      <c r="E531" s="518"/>
      <c r="F531" s="345"/>
    </row>
    <row r="532" spans="1:6" s="12" customFormat="1">
      <c r="A532" s="465"/>
      <c r="B532" s="446" t="s">
        <v>3152</v>
      </c>
      <c r="C532" s="344" t="s">
        <v>280</v>
      </c>
      <c r="D532" s="344">
        <v>144</v>
      </c>
      <c r="E532" s="518"/>
      <c r="F532" s="345"/>
    </row>
    <row r="533" spans="1:6" s="12" customFormat="1">
      <c r="A533" s="465"/>
      <c r="B533" s="446" t="s">
        <v>3153</v>
      </c>
      <c r="C533" s="344" t="s">
        <v>280</v>
      </c>
      <c r="D533" s="344">
        <v>588</v>
      </c>
      <c r="E533" s="518"/>
      <c r="F533" s="345"/>
    </row>
    <row r="534" spans="1:6" s="12" customFormat="1">
      <c r="A534" s="465"/>
      <c r="B534" s="446" t="s">
        <v>3154</v>
      </c>
      <c r="C534" s="344" t="s">
        <v>280</v>
      </c>
      <c r="D534" s="344">
        <v>84</v>
      </c>
      <c r="E534" s="518"/>
      <c r="F534" s="345"/>
    </row>
    <row r="535" spans="1:6" s="12" customFormat="1">
      <c r="A535" s="465"/>
      <c r="B535" s="446" t="s">
        <v>3155</v>
      </c>
      <c r="C535" s="344" t="s">
        <v>280</v>
      </c>
      <c r="D535" s="344">
        <v>48</v>
      </c>
      <c r="E535" s="518"/>
      <c r="F535" s="345"/>
    </row>
    <row r="536" spans="1:6" s="12" customFormat="1">
      <c r="A536" s="465"/>
      <c r="B536" s="446" t="s">
        <v>3156</v>
      </c>
      <c r="C536" s="344" t="s">
        <v>280</v>
      </c>
      <c r="D536" s="344">
        <v>48</v>
      </c>
      <c r="E536" s="518"/>
      <c r="F536" s="345"/>
    </row>
    <row r="537" spans="1:6" s="12" customFormat="1">
      <c r="A537" s="465"/>
      <c r="B537" s="446" t="s">
        <v>3157</v>
      </c>
      <c r="C537" s="344" t="s">
        <v>280</v>
      </c>
      <c r="D537" s="344">
        <v>72</v>
      </c>
      <c r="E537" s="518"/>
      <c r="F537" s="345"/>
    </row>
    <row r="538" spans="1:6" s="12" customFormat="1">
      <c r="A538" s="465"/>
      <c r="B538" s="446" t="s">
        <v>3158</v>
      </c>
      <c r="C538" s="344" t="s">
        <v>280</v>
      </c>
      <c r="D538" s="344">
        <v>84</v>
      </c>
      <c r="E538" s="518"/>
      <c r="F538" s="345"/>
    </row>
    <row r="539" spans="1:6" s="12" customFormat="1">
      <c r="A539" s="465"/>
      <c r="E539" s="518"/>
      <c r="F539" s="345"/>
    </row>
    <row r="540" spans="1:6" s="12" customFormat="1" ht="30">
      <c r="A540" s="465">
        <v>9</v>
      </c>
      <c r="B540" s="446" t="s">
        <v>3160</v>
      </c>
      <c r="C540" s="344" t="s">
        <v>21</v>
      </c>
      <c r="D540" s="344">
        <v>42</v>
      </c>
      <c r="E540" s="518"/>
      <c r="F540" s="345"/>
    </row>
    <row r="541" spans="1:6" s="12" customFormat="1">
      <c r="A541" s="465"/>
      <c r="B541" s="446"/>
      <c r="D541" s="344" t="s">
        <v>34</v>
      </c>
      <c r="E541" s="518"/>
      <c r="F541" s="345"/>
    </row>
    <row r="542" spans="1:6" s="12" customFormat="1">
      <c r="A542" s="465">
        <v>10</v>
      </c>
      <c r="B542" s="446" t="s">
        <v>3161</v>
      </c>
    </row>
    <row r="543" spans="1:6" s="12" customFormat="1" ht="60">
      <c r="A543" s="465"/>
      <c r="B543" s="446" t="s">
        <v>3162</v>
      </c>
      <c r="C543" s="344" t="s">
        <v>76</v>
      </c>
      <c r="D543" s="344">
        <v>1</v>
      </c>
      <c r="E543" s="518"/>
      <c r="F543" s="345"/>
    </row>
    <row r="544" spans="1:6" s="12" customFormat="1">
      <c r="A544" s="465"/>
      <c r="B544" s="446"/>
      <c r="D544" s="344"/>
      <c r="E544" s="518"/>
      <c r="F544" s="345"/>
    </row>
    <row r="545" spans="1:6" s="12" customFormat="1">
      <c r="A545" s="465">
        <v>11</v>
      </c>
      <c r="B545" s="446" t="s">
        <v>3163</v>
      </c>
    </row>
    <row r="546" spans="1:6" s="12" customFormat="1" ht="105">
      <c r="A546" s="465"/>
      <c r="B546" s="446" t="s">
        <v>3164</v>
      </c>
      <c r="C546" s="344" t="s">
        <v>76</v>
      </c>
      <c r="D546" s="344">
        <v>2</v>
      </c>
      <c r="E546" s="518"/>
      <c r="F546" s="345"/>
    </row>
    <row r="547" spans="1:6" s="12" customFormat="1">
      <c r="A547" s="465"/>
      <c r="D547" s="344"/>
      <c r="E547" s="518"/>
      <c r="F547" s="345"/>
    </row>
    <row r="548" spans="1:6" s="12" customFormat="1" ht="45">
      <c r="A548" s="465">
        <v>12</v>
      </c>
      <c r="B548" s="6" t="s">
        <v>3165</v>
      </c>
      <c r="C548" s="296"/>
      <c r="D548" s="296"/>
      <c r="E548" s="518"/>
      <c r="F548" s="345"/>
    </row>
    <row r="549" spans="1:6" s="12" customFormat="1">
      <c r="A549" s="435"/>
      <c r="B549" s="502" t="s">
        <v>3166</v>
      </c>
      <c r="C549" s="344" t="s">
        <v>280</v>
      </c>
      <c r="D549" s="344">
        <v>50</v>
      </c>
      <c r="E549" s="518"/>
      <c r="F549" s="345"/>
    </row>
    <row r="550" spans="1:6" s="12" customFormat="1">
      <c r="A550" s="435"/>
      <c r="B550" s="6"/>
      <c r="C550" s="296"/>
      <c r="D550" s="344" t="s">
        <v>34</v>
      </c>
      <c r="E550" s="518"/>
      <c r="F550" s="345"/>
    </row>
    <row r="551" spans="1:6" s="12" customFormat="1" ht="75">
      <c r="A551" s="465">
        <v>13</v>
      </c>
      <c r="B551" s="446" t="s">
        <v>3167</v>
      </c>
      <c r="C551" s="344" t="s">
        <v>76</v>
      </c>
      <c r="D551" s="344">
        <v>1</v>
      </c>
      <c r="E551" s="518"/>
      <c r="F551" s="345"/>
    </row>
    <row r="552" spans="1:6" s="12" customFormat="1">
      <c r="A552" s="465"/>
      <c r="D552" s="344" t="s">
        <v>34</v>
      </c>
      <c r="E552" s="518"/>
      <c r="F552" s="345"/>
    </row>
    <row r="553" spans="1:6" s="12" customFormat="1" ht="30">
      <c r="A553" s="465">
        <v>14</v>
      </c>
      <c r="B553" s="446" t="s">
        <v>3168</v>
      </c>
      <c r="D553" s="344" t="s">
        <v>34</v>
      </c>
      <c r="E553" s="518"/>
      <c r="F553" s="345"/>
    </row>
    <row r="554" spans="1:6" s="12" customFormat="1" ht="45">
      <c r="A554" s="465"/>
      <c r="B554" s="446" t="s">
        <v>3169</v>
      </c>
      <c r="E554" s="518"/>
      <c r="F554" s="345"/>
    </row>
    <row r="555" spans="1:6" s="12" customFormat="1" ht="120">
      <c r="A555" s="465"/>
      <c r="B555" s="446" t="s">
        <v>3170</v>
      </c>
      <c r="C555" s="344" t="s">
        <v>76</v>
      </c>
      <c r="D555" s="344">
        <v>2</v>
      </c>
      <c r="E555" s="518"/>
      <c r="F555" s="345"/>
    </row>
    <row r="556" spans="1:6" s="12" customFormat="1">
      <c r="A556" s="465"/>
      <c r="D556" s="344" t="s">
        <v>34</v>
      </c>
      <c r="E556" s="518"/>
      <c r="F556" s="345"/>
    </row>
    <row r="557" spans="1:6" s="12" customFormat="1" ht="105">
      <c r="A557" s="465">
        <v>15</v>
      </c>
      <c r="B557" s="446" t="s">
        <v>3171</v>
      </c>
      <c r="C557" s="344" t="s">
        <v>76</v>
      </c>
      <c r="D557" s="344">
        <v>2</v>
      </c>
      <c r="E557" s="518"/>
      <c r="F557" s="345"/>
    </row>
    <row r="558" spans="1:6" s="12" customFormat="1">
      <c r="A558" s="465"/>
      <c r="D558" s="344" t="s">
        <v>34</v>
      </c>
      <c r="E558" s="518"/>
      <c r="F558" s="345"/>
    </row>
    <row r="559" spans="1:6" s="12" customFormat="1" ht="120">
      <c r="A559" s="465">
        <v>16</v>
      </c>
      <c r="B559" s="446" t="s">
        <v>3172</v>
      </c>
      <c r="C559" s="344" t="s">
        <v>21</v>
      </c>
      <c r="D559" s="344">
        <v>240</v>
      </c>
      <c r="E559" s="518"/>
      <c r="F559" s="345"/>
    </row>
    <row r="560" spans="1:6" s="12" customFormat="1">
      <c r="A560" s="465"/>
      <c r="D560" s="344" t="s">
        <v>34</v>
      </c>
      <c r="E560" s="518"/>
      <c r="F560" s="345"/>
    </row>
    <row r="561" spans="1:6" s="12" customFormat="1" ht="30">
      <c r="A561" s="435">
        <v>17</v>
      </c>
      <c r="B561" s="6" t="s">
        <v>2936</v>
      </c>
      <c r="C561" s="296" t="s">
        <v>76</v>
      </c>
      <c r="D561" s="296">
        <v>1</v>
      </c>
      <c r="E561" s="518"/>
      <c r="F561" s="345"/>
    </row>
    <row r="562" spans="1:6" s="12" customFormat="1">
      <c r="A562" s="435"/>
      <c r="B562" s="6"/>
      <c r="C562" s="296"/>
      <c r="D562" s="296" t="s">
        <v>34</v>
      </c>
      <c r="E562" s="518"/>
      <c r="F562" s="345"/>
    </row>
    <row r="563" spans="1:6" s="12" customFormat="1" ht="30">
      <c r="A563" s="435">
        <v>18</v>
      </c>
      <c r="B563" s="6" t="s">
        <v>2937</v>
      </c>
      <c r="C563" s="296" t="s">
        <v>76</v>
      </c>
      <c r="D563" s="296">
        <v>1</v>
      </c>
      <c r="E563" s="518"/>
      <c r="F563" s="345"/>
    </row>
    <row r="564" spans="1:6" s="12" customFormat="1">
      <c r="A564" s="435"/>
      <c r="B564" s="6"/>
      <c r="C564" s="296"/>
      <c r="D564" s="296" t="s">
        <v>34</v>
      </c>
      <c r="E564" s="518"/>
      <c r="F564" s="345"/>
    </row>
    <row r="565" spans="1:6" s="12" customFormat="1" ht="30">
      <c r="A565" s="435">
        <v>19</v>
      </c>
      <c r="B565" s="6" t="s">
        <v>2938</v>
      </c>
      <c r="C565" s="296" t="s">
        <v>76</v>
      </c>
      <c r="D565" s="296">
        <v>1</v>
      </c>
      <c r="E565" s="518"/>
      <c r="F565" s="345"/>
    </row>
    <row r="566" spans="1:6" s="12" customFormat="1">
      <c r="A566" s="570"/>
      <c r="B566" s="6"/>
      <c r="C566" s="296"/>
      <c r="D566" s="296"/>
      <c r="E566" s="501"/>
      <c r="F566" s="501"/>
    </row>
    <row r="567" spans="1:6" s="12" customFormat="1">
      <c r="A567" s="570"/>
      <c r="B567" s="591" t="s">
        <v>278</v>
      </c>
      <c r="C567" s="579"/>
      <c r="D567" s="579" t="s">
        <v>34</v>
      </c>
      <c r="E567" s="595"/>
      <c r="F567" s="596"/>
    </row>
    <row r="568" spans="1:6" s="12" customFormat="1">
      <c r="A568" s="435"/>
      <c r="B568" s="6"/>
      <c r="C568" s="296"/>
      <c r="D568" s="296"/>
      <c r="E568" s="501"/>
      <c r="F568" s="501"/>
    </row>
    <row r="569" spans="1:6">
      <c r="A569" s="498"/>
      <c r="B569" s="519"/>
    </row>
    <row r="570" spans="1:6">
      <c r="B570" s="514"/>
    </row>
    <row r="571" spans="1:6">
      <c r="B571" s="514"/>
    </row>
    <row r="572" spans="1:6" s="12" customFormat="1">
      <c r="A572" s="435"/>
      <c r="B572" s="299"/>
      <c r="C572" s="296"/>
      <c r="D572" s="296"/>
      <c r="E572" s="426"/>
      <c r="F572" s="426"/>
    </row>
    <row r="573" spans="1:6" s="12" customFormat="1">
      <c r="A573" s="260" t="s">
        <v>3365</v>
      </c>
      <c r="B573" s="425" t="s">
        <v>3173</v>
      </c>
      <c r="C573" s="296"/>
      <c r="D573" s="296"/>
      <c r="E573" s="426"/>
      <c r="F573" s="426"/>
    </row>
    <row r="574" spans="1:6" s="12" customFormat="1">
      <c r="A574" s="435"/>
      <c r="B574" s="425"/>
      <c r="C574" s="296"/>
      <c r="D574" s="296"/>
      <c r="E574" s="426"/>
      <c r="F574" s="426"/>
    </row>
    <row r="575" spans="1:6" s="12" customFormat="1" ht="45">
      <c r="A575" s="435">
        <f>SUM(A573:A574) +1</f>
        <v>1</v>
      </c>
      <c r="B575" s="6" t="s">
        <v>3174</v>
      </c>
      <c r="C575" s="296"/>
      <c r="D575" s="344" t="s">
        <v>34</v>
      </c>
      <c r="E575" s="297"/>
      <c r="F575" s="297"/>
    </row>
    <row r="576" spans="1:6" s="12" customFormat="1" ht="135">
      <c r="A576" s="435"/>
      <c r="B576" s="342" t="s">
        <v>3175</v>
      </c>
      <c r="C576" s="344"/>
      <c r="D576" s="344"/>
      <c r="E576" s="345"/>
      <c r="F576" s="345"/>
    </row>
    <row r="577" spans="1:6" s="12" customFormat="1" ht="45">
      <c r="A577" s="435"/>
      <c r="B577" s="342" t="s">
        <v>3176</v>
      </c>
      <c r="C577" s="344"/>
      <c r="D577" s="344"/>
      <c r="E577" s="345"/>
      <c r="F577" s="345"/>
    </row>
    <row r="578" spans="1:6" s="12" customFormat="1" ht="255">
      <c r="A578" s="435"/>
      <c r="B578" s="342" t="s">
        <v>3177</v>
      </c>
      <c r="C578" s="344"/>
      <c r="D578" s="344"/>
      <c r="E578" s="345"/>
      <c r="F578" s="345"/>
    </row>
    <row r="579" spans="1:6" s="12" customFormat="1" ht="30">
      <c r="A579" s="435"/>
      <c r="B579" s="520" t="s">
        <v>3178</v>
      </c>
      <c r="C579" s="344"/>
      <c r="D579" s="344"/>
      <c r="E579" s="345"/>
      <c r="F579" s="345"/>
    </row>
    <row r="580" spans="1:6" s="12" customFormat="1">
      <c r="A580" s="435"/>
      <c r="B580" s="342" t="s">
        <v>3179</v>
      </c>
      <c r="C580" s="344"/>
      <c r="D580" s="344"/>
      <c r="E580" s="345"/>
      <c r="F580" s="345"/>
    </row>
    <row r="581" spans="1:6" s="12" customFormat="1">
      <c r="A581" s="435"/>
      <c r="B581" s="342" t="s">
        <v>3180</v>
      </c>
      <c r="C581" s="344"/>
      <c r="D581" s="344"/>
      <c r="E581" s="345"/>
      <c r="F581" s="345"/>
    </row>
    <row r="582" spans="1:6" s="12" customFormat="1">
      <c r="A582" s="435"/>
      <c r="B582" s="342" t="s">
        <v>3181</v>
      </c>
      <c r="C582" s="344"/>
      <c r="D582" s="344"/>
      <c r="E582" s="345"/>
      <c r="F582" s="345"/>
    </row>
    <row r="583" spans="1:6" s="12" customFormat="1">
      <c r="A583" s="435"/>
      <c r="B583" s="342" t="s">
        <v>3182</v>
      </c>
      <c r="C583" s="344"/>
      <c r="D583" s="344"/>
      <c r="E583" s="345"/>
      <c r="F583" s="345"/>
    </row>
    <row r="584" spans="1:6" s="12" customFormat="1">
      <c r="A584" s="435"/>
      <c r="B584" s="342" t="s">
        <v>3183</v>
      </c>
      <c r="C584" s="344"/>
      <c r="D584" s="344"/>
      <c r="E584" s="345"/>
      <c r="F584" s="345"/>
    </row>
    <row r="585" spans="1:6" s="12" customFormat="1">
      <c r="A585" s="435"/>
      <c r="B585" s="342" t="s">
        <v>3184</v>
      </c>
      <c r="C585" s="344"/>
      <c r="D585" s="344"/>
      <c r="E585" s="345"/>
      <c r="F585" s="345"/>
    </row>
    <row r="586" spans="1:6" s="12" customFormat="1">
      <c r="A586" s="435"/>
      <c r="B586" s="342" t="s">
        <v>3185</v>
      </c>
      <c r="C586" s="344"/>
      <c r="D586" s="344"/>
      <c r="E586" s="345"/>
      <c r="F586" s="345"/>
    </row>
    <row r="587" spans="1:6" s="12" customFormat="1">
      <c r="A587" s="435"/>
      <c r="B587" s="342" t="s">
        <v>3186</v>
      </c>
      <c r="C587" s="344"/>
      <c r="D587" s="344"/>
      <c r="E587" s="345"/>
      <c r="F587" s="345"/>
    </row>
    <row r="588" spans="1:6" s="12" customFormat="1">
      <c r="A588" s="435"/>
      <c r="B588" s="342" t="s">
        <v>3187</v>
      </c>
      <c r="C588" s="344"/>
      <c r="D588" s="344"/>
      <c r="E588" s="345"/>
      <c r="F588" s="345"/>
    </row>
    <row r="589" spans="1:6" s="12" customFormat="1">
      <c r="A589" s="435"/>
      <c r="B589" s="342" t="s">
        <v>3188</v>
      </c>
      <c r="C589" s="344"/>
      <c r="D589" s="344"/>
      <c r="E589" s="345"/>
      <c r="F589" s="345"/>
    </row>
    <row r="590" spans="1:6" s="12" customFormat="1">
      <c r="A590" s="435"/>
      <c r="B590" s="342" t="s">
        <v>3189</v>
      </c>
      <c r="C590" s="344"/>
      <c r="D590" s="344"/>
      <c r="E590" s="345"/>
      <c r="F590" s="345"/>
    </row>
    <row r="591" spans="1:6" s="12" customFormat="1" ht="30">
      <c r="A591" s="435"/>
      <c r="B591" s="342" t="s">
        <v>3190</v>
      </c>
      <c r="C591" s="344"/>
      <c r="D591" s="344"/>
      <c r="E591" s="345"/>
      <c r="F591" s="345"/>
    </row>
    <row r="592" spans="1:6" s="12" customFormat="1">
      <c r="A592" s="435"/>
      <c r="B592" s="342" t="s">
        <v>3191</v>
      </c>
      <c r="C592" s="344"/>
      <c r="D592" s="344"/>
      <c r="E592" s="345"/>
      <c r="F592" s="345"/>
    </row>
    <row r="593" spans="1:6" s="12" customFormat="1">
      <c r="A593" s="435"/>
      <c r="B593" s="342" t="s">
        <v>3192</v>
      </c>
      <c r="C593" s="344"/>
      <c r="D593" s="344"/>
      <c r="E593" s="345"/>
      <c r="F593" s="345"/>
    </row>
    <row r="594" spans="1:6" s="12" customFormat="1" ht="30">
      <c r="A594" s="435"/>
      <c r="B594" s="342" t="s">
        <v>3193</v>
      </c>
      <c r="C594" s="344"/>
      <c r="D594" s="344"/>
      <c r="E594" s="345"/>
      <c r="F594" s="345"/>
    </row>
    <row r="595" spans="1:6" s="12" customFormat="1">
      <c r="A595" s="435"/>
      <c r="B595" s="342" t="s">
        <v>3194</v>
      </c>
      <c r="C595" s="344"/>
      <c r="D595" s="344"/>
      <c r="E595" s="345"/>
      <c r="F595" s="345"/>
    </row>
    <row r="596" spans="1:6" s="12" customFormat="1" ht="30">
      <c r="A596" s="435"/>
      <c r="B596" s="342" t="s">
        <v>3195</v>
      </c>
      <c r="C596" s="344"/>
      <c r="D596" s="344"/>
      <c r="E596" s="345"/>
      <c r="F596" s="345"/>
    </row>
    <row r="597" spans="1:6" s="12" customFormat="1" ht="30">
      <c r="A597" s="435"/>
      <c r="B597" s="342" t="s">
        <v>3196</v>
      </c>
      <c r="C597" s="344"/>
      <c r="D597" s="344"/>
      <c r="E597" s="345"/>
      <c r="F597" s="345"/>
    </row>
    <row r="598" spans="1:6" s="12" customFormat="1">
      <c r="A598" s="435"/>
      <c r="B598" s="342" t="s">
        <v>3197</v>
      </c>
      <c r="C598" s="344"/>
      <c r="D598" s="344"/>
      <c r="E598" s="345"/>
      <c r="F598" s="345"/>
    </row>
    <row r="599" spans="1:6" s="12" customFormat="1" ht="30">
      <c r="A599" s="435"/>
      <c r="B599" s="342" t="s">
        <v>3198</v>
      </c>
      <c r="C599" s="344" t="s">
        <v>18</v>
      </c>
      <c r="D599" s="344">
        <v>3</v>
      </c>
      <c r="E599" s="345"/>
      <c r="F599" s="345"/>
    </row>
    <row r="600" spans="1:6" s="12" customFormat="1">
      <c r="A600" s="435"/>
      <c r="B600" s="6"/>
      <c r="C600" s="344"/>
      <c r="D600" s="344" t="s">
        <v>34</v>
      </c>
      <c r="E600" s="345"/>
      <c r="F600" s="345"/>
    </row>
    <row r="601" spans="1:6" s="12" customFormat="1" ht="45">
      <c r="A601" s="435">
        <v>2</v>
      </c>
      <c r="B601" s="6" t="s">
        <v>3199</v>
      </c>
      <c r="C601" s="344" t="s">
        <v>18</v>
      </c>
      <c r="D601" s="344">
        <v>3</v>
      </c>
      <c r="E601" s="345"/>
      <c r="F601" s="345"/>
    </row>
    <row r="602" spans="1:6" s="12" customFormat="1">
      <c r="A602" s="435"/>
      <c r="B602" s="502"/>
      <c r="C602" s="344"/>
      <c r="D602" s="344" t="s">
        <v>34</v>
      </c>
      <c r="E602" s="345"/>
      <c r="F602" s="345"/>
    </row>
    <row r="603" spans="1:6" s="12" customFormat="1" ht="45">
      <c r="A603" s="435">
        <v>3</v>
      </c>
      <c r="B603" s="6" t="s">
        <v>3165</v>
      </c>
      <c r="C603" s="296"/>
      <c r="D603" s="296"/>
      <c r="E603" s="426"/>
      <c r="F603" s="426"/>
    </row>
    <row r="604" spans="1:6" s="12" customFormat="1">
      <c r="A604" s="435"/>
      <c r="B604" s="502" t="s">
        <v>3166</v>
      </c>
      <c r="C604" s="344" t="s">
        <v>280</v>
      </c>
      <c r="D604" s="344">
        <v>3</v>
      </c>
      <c r="E604" s="345"/>
      <c r="F604" s="345"/>
    </row>
    <row r="605" spans="1:6" s="12" customFormat="1">
      <c r="A605" s="435"/>
      <c r="B605" s="6"/>
      <c r="C605" s="296"/>
      <c r="D605" s="344" t="s">
        <v>34</v>
      </c>
      <c r="E605" s="297"/>
      <c r="F605" s="297"/>
    </row>
    <row r="606" spans="1:6" s="12" customFormat="1" ht="165">
      <c r="A606" s="435">
        <v>4</v>
      </c>
      <c r="B606" s="6" t="s">
        <v>3200</v>
      </c>
      <c r="C606" s="344"/>
      <c r="D606" s="344"/>
      <c r="E606" s="345"/>
      <c r="F606" s="345"/>
    </row>
    <row r="607" spans="1:6" s="12" customFormat="1">
      <c r="B607" s="502" t="s">
        <v>3166</v>
      </c>
      <c r="C607" s="344" t="s">
        <v>280</v>
      </c>
      <c r="D607" s="344">
        <v>3</v>
      </c>
      <c r="E607" s="345"/>
      <c r="F607" s="345"/>
    </row>
    <row r="608" spans="1:6" s="12" customFormat="1">
      <c r="B608" s="502"/>
      <c r="C608" s="344"/>
      <c r="D608" s="344"/>
      <c r="E608" s="345"/>
      <c r="F608" s="345"/>
    </row>
    <row r="609" spans="1:6" s="12" customFormat="1" ht="30">
      <c r="A609" s="435">
        <v>5</v>
      </c>
      <c r="B609" s="6" t="s">
        <v>3201</v>
      </c>
      <c r="C609" s="344" t="s">
        <v>18</v>
      </c>
      <c r="D609" s="344">
        <v>3</v>
      </c>
      <c r="E609" s="345"/>
      <c r="F609" s="345"/>
    </row>
    <row r="610" spans="1:6" s="12" customFormat="1">
      <c r="A610" s="435"/>
      <c r="B610" s="502"/>
      <c r="C610" s="296"/>
      <c r="D610" s="296"/>
      <c r="E610" s="426"/>
      <c r="F610" s="426"/>
    </row>
    <row r="611" spans="1:6" s="12" customFormat="1" ht="45">
      <c r="A611" s="435">
        <v>6</v>
      </c>
      <c r="B611" s="6" t="s">
        <v>3202</v>
      </c>
      <c r="C611" s="296"/>
      <c r="D611" s="344" t="s">
        <v>34</v>
      </c>
      <c r="E611" s="297"/>
      <c r="F611" s="297"/>
    </row>
    <row r="612" spans="1:6" s="12" customFormat="1">
      <c r="A612" s="435"/>
      <c r="B612" s="502" t="s">
        <v>3203</v>
      </c>
      <c r="C612" s="344" t="s">
        <v>280</v>
      </c>
      <c r="D612" s="344">
        <v>72</v>
      </c>
      <c r="E612" s="345"/>
      <c r="F612" s="345"/>
    </row>
    <row r="613" spans="1:6" s="12" customFormat="1">
      <c r="A613" s="435"/>
      <c r="B613" s="502" t="s">
        <v>3204</v>
      </c>
      <c r="C613" s="344" t="s">
        <v>280</v>
      </c>
      <c r="D613" s="344">
        <v>72</v>
      </c>
      <c r="E613" s="345"/>
      <c r="F613" s="345"/>
    </row>
    <row r="614" spans="1:6" s="12" customFormat="1">
      <c r="A614" s="435"/>
      <c r="B614" s="6"/>
      <c r="C614" s="344"/>
      <c r="D614" s="344"/>
      <c r="E614" s="344"/>
      <c r="F614" s="344"/>
    </row>
    <row r="615" spans="1:6" s="12" customFormat="1" ht="77.25">
      <c r="A615" s="435">
        <v>7</v>
      </c>
      <c r="B615" s="6" t="s">
        <v>3403</v>
      </c>
      <c r="C615" s="344" t="s">
        <v>280</v>
      </c>
      <c r="D615" s="344">
        <v>72</v>
      </c>
      <c r="E615" s="345"/>
      <c r="F615" s="345"/>
    </row>
    <row r="616" spans="1:6" s="12" customFormat="1">
      <c r="A616" s="435"/>
      <c r="B616" s="6"/>
      <c r="C616" s="344"/>
      <c r="D616" s="344" t="s">
        <v>34</v>
      </c>
      <c r="E616" s="345"/>
      <c r="F616" s="345"/>
    </row>
    <row r="617" spans="1:6" s="12" customFormat="1">
      <c r="A617" s="435">
        <v>8</v>
      </c>
      <c r="B617" s="6" t="s">
        <v>3205</v>
      </c>
      <c r="C617" s="296"/>
      <c r="D617" s="344" t="s">
        <v>34</v>
      </c>
      <c r="E617" s="297"/>
      <c r="F617" s="297"/>
    </row>
    <row r="618" spans="1:6" s="12" customFormat="1">
      <c r="A618" s="435"/>
      <c r="B618" s="502" t="s">
        <v>3206</v>
      </c>
      <c r="C618" s="344" t="s">
        <v>76</v>
      </c>
      <c r="D618" s="344">
        <v>3</v>
      </c>
      <c r="E618" s="345"/>
      <c r="F618" s="345"/>
    </row>
    <row r="619" spans="1:6" s="12" customFormat="1">
      <c r="A619" s="435"/>
      <c r="B619" s="502"/>
      <c r="C619" s="344"/>
      <c r="D619" s="344"/>
      <c r="E619" s="345"/>
      <c r="F619" s="345"/>
    </row>
    <row r="620" spans="1:6" s="12" customFormat="1" ht="105">
      <c r="A620" s="435">
        <v>9</v>
      </c>
      <c r="B620" s="6" t="s">
        <v>3207</v>
      </c>
      <c r="C620" s="344" t="s">
        <v>76</v>
      </c>
      <c r="D620" s="344">
        <v>3</v>
      </c>
      <c r="E620" s="345"/>
      <c r="F620" s="345"/>
    </row>
    <row r="621" spans="1:6" s="12" customFormat="1">
      <c r="A621" s="435"/>
      <c r="B621" s="6"/>
      <c r="C621" s="296"/>
      <c r="D621" s="296" t="s">
        <v>34</v>
      </c>
      <c r="E621" s="501"/>
      <c r="F621" s="501"/>
    </row>
    <row r="622" spans="1:6" s="12" customFormat="1">
      <c r="A622" s="435">
        <v>10</v>
      </c>
      <c r="B622" s="6" t="s">
        <v>3208</v>
      </c>
      <c r="C622" s="296"/>
      <c r="D622" s="296"/>
      <c r="E622" s="501"/>
      <c r="F622" s="345"/>
    </row>
    <row r="623" spans="1:6" s="12" customFormat="1">
      <c r="A623" s="435"/>
      <c r="B623" s="6" t="s">
        <v>3209</v>
      </c>
      <c r="C623" s="296" t="s">
        <v>21</v>
      </c>
      <c r="D623" s="296">
        <v>1.5</v>
      </c>
      <c r="E623" s="501"/>
      <c r="F623" s="345"/>
    </row>
    <row r="624" spans="1:6" s="12" customFormat="1">
      <c r="A624" s="435"/>
      <c r="B624" s="6"/>
      <c r="C624" s="296"/>
      <c r="D624" s="344" t="s">
        <v>34</v>
      </c>
      <c r="E624" s="297"/>
      <c r="F624" s="297"/>
    </row>
    <row r="625" spans="1:6" s="12" customFormat="1" ht="30">
      <c r="A625" s="435">
        <v>11</v>
      </c>
      <c r="B625" s="6" t="s">
        <v>2937</v>
      </c>
      <c r="C625" s="344" t="s">
        <v>76</v>
      </c>
      <c r="D625" s="344">
        <v>1</v>
      </c>
      <c r="E625" s="345"/>
      <c r="F625" s="345"/>
    </row>
    <row r="626" spans="1:6" s="12" customFormat="1">
      <c r="A626" s="435"/>
      <c r="B626" s="6"/>
      <c r="C626" s="344"/>
      <c r="D626" s="344" t="s">
        <v>34</v>
      </c>
      <c r="E626" s="345"/>
      <c r="F626" s="345"/>
    </row>
    <row r="627" spans="1:6" s="12" customFormat="1" ht="30">
      <c r="A627" s="435">
        <f>SUM(A625:A626) +1</f>
        <v>12</v>
      </c>
      <c r="B627" s="6" t="s">
        <v>2936</v>
      </c>
      <c r="C627" s="344" t="s">
        <v>76</v>
      </c>
      <c r="D627" s="344">
        <v>1</v>
      </c>
      <c r="E627" s="345"/>
      <c r="F627" s="345"/>
    </row>
    <row r="628" spans="1:6" s="12" customFormat="1">
      <c r="A628" s="435"/>
      <c r="B628" s="6"/>
      <c r="C628" s="344"/>
      <c r="D628" s="344" t="s">
        <v>34</v>
      </c>
      <c r="E628" s="345"/>
      <c r="F628" s="345"/>
    </row>
    <row r="629" spans="1:6" s="12" customFormat="1" ht="30">
      <c r="A629" s="435">
        <f>SUM(A626:A628) +1</f>
        <v>13</v>
      </c>
      <c r="B629" s="6" t="s">
        <v>2938</v>
      </c>
      <c r="C629" s="344" t="s">
        <v>76</v>
      </c>
      <c r="D629" s="344">
        <v>1</v>
      </c>
      <c r="E629" s="345"/>
      <c r="F629" s="345"/>
    </row>
    <row r="630" spans="1:6" s="12" customFormat="1">
      <c r="A630" s="435"/>
      <c r="B630" s="6"/>
      <c r="C630" s="344"/>
      <c r="D630" s="344"/>
      <c r="E630" s="345"/>
      <c r="F630" s="345"/>
    </row>
    <row r="631" spans="1:6" s="12" customFormat="1">
      <c r="A631" s="465" t="s">
        <v>3365</v>
      </c>
      <c r="B631" s="521" t="s">
        <v>278</v>
      </c>
      <c r="C631" s="510"/>
      <c r="D631" s="510" t="s">
        <v>34</v>
      </c>
      <c r="E631" s="522"/>
      <c r="F631" s="581"/>
    </row>
    <row r="632" spans="1:6">
      <c r="B632" s="514"/>
    </row>
    <row r="633" spans="1:6">
      <c r="B633" s="514"/>
    </row>
    <row r="634" spans="1:6">
      <c r="B634" s="514"/>
    </row>
    <row r="635" spans="1:6" s="12" customFormat="1">
      <c r="A635" s="523"/>
      <c r="B635" s="524"/>
      <c r="C635" s="525"/>
      <c r="D635" s="526"/>
      <c r="E635" s="434"/>
      <c r="F635" s="527"/>
    </row>
    <row r="636" spans="1:6" s="567" customFormat="1">
      <c r="A636" s="260" t="s">
        <v>3210</v>
      </c>
      <c r="B636" s="597" t="s">
        <v>3211</v>
      </c>
      <c r="C636" s="436"/>
      <c r="D636" s="436"/>
    </row>
    <row r="637" spans="1:6" s="12" customFormat="1">
      <c r="A637" s="465"/>
      <c r="B637" s="598"/>
      <c r="C637" s="296"/>
      <c r="D637" s="296"/>
      <c r="E637" s="426"/>
      <c r="F637" s="426"/>
    </row>
    <row r="638" spans="1:6" s="12" customFormat="1">
      <c r="A638" s="465">
        <v>1</v>
      </c>
      <c r="B638" s="21" t="s">
        <v>3212</v>
      </c>
      <c r="C638" s="488"/>
      <c r="D638" s="344"/>
      <c r="E638" s="528"/>
      <c r="F638" s="345"/>
    </row>
    <row r="639" spans="1:6" s="12" customFormat="1" ht="150">
      <c r="A639" s="465"/>
      <c r="B639" s="21" t="s">
        <v>3213</v>
      </c>
      <c r="C639" s="488"/>
      <c r="D639" s="344"/>
      <c r="E639" s="528"/>
      <c r="F639" s="345"/>
    </row>
    <row r="640" spans="1:6" s="12" customFormat="1" ht="150">
      <c r="A640" s="465"/>
      <c r="B640" s="21" t="s">
        <v>3214</v>
      </c>
      <c r="C640" s="488"/>
      <c r="D640" s="344"/>
      <c r="E640" s="528"/>
      <c r="F640" s="345"/>
    </row>
    <row r="641" spans="1:6" s="12" customFormat="1" ht="30">
      <c r="A641" s="465"/>
      <c r="B641" s="21" t="s">
        <v>3215</v>
      </c>
      <c r="C641" s="488"/>
      <c r="D641" s="344"/>
      <c r="E641" s="528"/>
      <c r="F641" s="345"/>
    </row>
    <row r="642" spans="1:6" s="12" customFormat="1">
      <c r="A642" s="465"/>
      <c r="B642" s="21" t="s">
        <v>3216</v>
      </c>
      <c r="C642" s="488"/>
      <c r="D642" s="344"/>
      <c r="E642" s="528"/>
      <c r="F642" s="345"/>
    </row>
    <row r="643" spans="1:6" s="12" customFormat="1">
      <c r="A643" s="465"/>
      <c r="B643" s="21" t="s">
        <v>3217</v>
      </c>
      <c r="C643" s="488"/>
      <c r="D643" s="344"/>
      <c r="E643" s="528"/>
      <c r="F643" s="345"/>
    </row>
    <row r="644" spans="1:6" s="12" customFormat="1">
      <c r="A644" s="465"/>
      <c r="B644" s="21" t="s">
        <v>3218</v>
      </c>
      <c r="C644" s="488"/>
      <c r="D644" s="344"/>
      <c r="E644" s="528"/>
      <c r="F644" s="345"/>
    </row>
    <row r="645" spans="1:6" s="12" customFormat="1">
      <c r="A645" s="465"/>
      <c r="B645" s="21" t="s">
        <v>3219</v>
      </c>
      <c r="C645" s="488"/>
      <c r="D645" s="344"/>
      <c r="E645" s="528"/>
      <c r="F645" s="345"/>
    </row>
    <row r="646" spans="1:6" s="12" customFormat="1">
      <c r="A646" s="465"/>
      <c r="B646" s="21" t="s">
        <v>3220</v>
      </c>
      <c r="C646" s="488"/>
      <c r="D646" s="344"/>
      <c r="E646" s="528"/>
      <c r="F646" s="345"/>
    </row>
    <row r="647" spans="1:6" s="12" customFormat="1">
      <c r="A647" s="465"/>
      <c r="B647" s="21" t="s">
        <v>3221</v>
      </c>
      <c r="C647" s="488"/>
      <c r="D647" s="344"/>
      <c r="E647" s="528"/>
      <c r="F647" s="345"/>
    </row>
    <row r="648" spans="1:6" s="12" customFormat="1">
      <c r="A648" s="465"/>
      <c r="B648" s="21" t="s">
        <v>3062</v>
      </c>
      <c r="C648" s="488"/>
      <c r="D648" s="344"/>
      <c r="E648" s="528"/>
      <c r="F648" s="345"/>
    </row>
    <row r="649" spans="1:6" s="12" customFormat="1">
      <c r="A649" s="465"/>
      <c r="B649" s="21" t="s">
        <v>3222</v>
      </c>
      <c r="C649" s="488"/>
      <c r="D649" s="344"/>
      <c r="E649" s="528"/>
      <c r="F649" s="345"/>
    </row>
    <row r="650" spans="1:6" s="12" customFormat="1">
      <c r="A650" s="465"/>
      <c r="B650" s="21" t="s">
        <v>3223</v>
      </c>
      <c r="C650" s="488"/>
      <c r="D650" s="344"/>
      <c r="E650" s="528"/>
      <c r="F650" s="345"/>
    </row>
    <row r="651" spans="1:6" s="12" customFormat="1">
      <c r="A651" s="465"/>
      <c r="B651" s="21" t="s">
        <v>3224</v>
      </c>
      <c r="C651" s="488"/>
      <c r="D651" s="344"/>
      <c r="E651" s="528"/>
      <c r="F651" s="345"/>
    </row>
    <row r="652" spans="1:6" s="12" customFormat="1">
      <c r="A652" s="465"/>
      <c r="B652" s="21" t="s">
        <v>3225</v>
      </c>
      <c r="C652" s="488"/>
      <c r="D652" s="344"/>
      <c r="E652" s="528"/>
      <c r="F652" s="345"/>
    </row>
    <row r="653" spans="1:6" s="12" customFormat="1">
      <c r="A653" s="465"/>
      <c r="B653" s="21" t="s">
        <v>3226</v>
      </c>
      <c r="C653" s="488"/>
      <c r="D653" s="344"/>
      <c r="E653" s="528"/>
      <c r="F653" s="345"/>
    </row>
    <row r="654" spans="1:6" s="12" customFormat="1">
      <c r="A654" s="465"/>
      <c r="B654" s="21" t="s">
        <v>3227</v>
      </c>
      <c r="C654" s="488"/>
      <c r="D654" s="344"/>
      <c r="E654" s="528"/>
      <c r="F654" s="345"/>
    </row>
    <row r="655" spans="1:6" s="12" customFormat="1">
      <c r="A655" s="465"/>
      <c r="B655" s="21" t="s">
        <v>3228</v>
      </c>
      <c r="C655" s="488"/>
      <c r="D655" s="344"/>
      <c r="E655" s="528"/>
      <c r="F655" s="345"/>
    </row>
    <row r="656" spans="1:6" s="12" customFormat="1">
      <c r="A656" s="465"/>
      <c r="B656" s="21" t="s">
        <v>3229</v>
      </c>
      <c r="C656" s="488"/>
      <c r="D656" s="344"/>
      <c r="E656" s="528"/>
      <c r="F656" s="345"/>
    </row>
    <row r="657" spans="1:6" s="12" customFormat="1">
      <c r="A657" s="465"/>
      <c r="B657" s="21" t="s">
        <v>3230</v>
      </c>
      <c r="C657" s="488"/>
      <c r="D657" s="344"/>
      <c r="E657" s="528"/>
      <c r="F657" s="345"/>
    </row>
    <row r="658" spans="1:6" s="12" customFormat="1">
      <c r="A658" s="465"/>
      <c r="B658" s="21" t="s">
        <v>3231</v>
      </c>
      <c r="C658" s="488"/>
      <c r="D658" s="344"/>
      <c r="E658" s="528"/>
      <c r="F658" s="345"/>
    </row>
    <row r="659" spans="1:6" s="12" customFormat="1">
      <c r="A659" s="465"/>
      <c r="B659" s="21" t="s">
        <v>3232</v>
      </c>
      <c r="C659" s="488"/>
      <c r="D659" s="344"/>
      <c r="E659" s="528"/>
      <c r="F659" s="345"/>
    </row>
    <row r="660" spans="1:6" s="12" customFormat="1">
      <c r="A660" s="465"/>
      <c r="B660" s="21" t="s">
        <v>3233</v>
      </c>
      <c r="C660" s="488"/>
      <c r="D660" s="344"/>
      <c r="E660" s="528"/>
      <c r="F660" s="345"/>
    </row>
    <row r="661" spans="1:6" s="12" customFormat="1">
      <c r="A661" s="465"/>
      <c r="B661" s="21" t="s">
        <v>3234</v>
      </c>
      <c r="C661" s="488"/>
      <c r="D661" s="344"/>
      <c r="E661" s="528"/>
      <c r="F661" s="345"/>
    </row>
    <row r="662" spans="1:6" s="12" customFormat="1" ht="30">
      <c r="A662" s="465"/>
      <c r="B662" s="21" t="s">
        <v>3235</v>
      </c>
      <c r="C662" s="488"/>
      <c r="D662" s="344"/>
      <c r="E662" s="528"/>
      <c r="F662" s="345"/>
    </row>
    <row r="663" spans="1:6" s="12" customFormat="1" ht="30">
      <c r="A663" s="465"/>
      <c r="B663" s="21" t="s">
        <v>3236</v>
      </c>
      <c r="C663" s="488"/>
      <c r="D663" s="344"/>
      <c r="E663" s="528"/>
      <c r="F663" s="345"/>
    </row>
    <row r="664" spans="1:6" s="12" customFormat="1" ht="30">
      <c r="A664" s="465"/>
      <c r="B664" s="21" t="s">
        <v>3237</v>
      </c>
      <c r="C664" s="488"/>
      <c r="D664" s="344"/>
      <c r="E664" s="528"/>
      <c r="F664" s="345"/>
    </row>
    <row r="665" spans="1:6" s="12" customFormat="1">
      <c r="A665" s="465"/>
      <c r="B665" s="21" t="s">
        <v>3238</v>
      </c>
      <c r="C665" s="488"/>
      <c r="D665" s="344"/>
      <c r="E665" s="528"/>
      <c r="F665" s="345"/>
    </row>
    <row r="666" spans="1:6" s="12" customFormat="1" ht="45">
      <c r="A666" s="465"/>
      <c r="B666" s="21" t="s">
        <v>3239</v>
      </c>
      <c r="C666" s="488"/>
      <c r="D666" s="344"/>
      <c r="E666" s="528"/>
      <c r="F666" s="345"/>
    </row>
    <row r="667" spans="1:6" s="12" customFormat="1" ht="30">
      <c r="A667" s="465"/>
      <c r="B667" s="21" t="s">
        <v>3240</v>
      </c>
      <c r="C667" s="488"/>
      <c r="D667" s="344"/>
      <c r="E667" s="528"/>
      <c r="F667" s="345"/>
    </row>
    <row r="668" spans="1:6" s="12" customFormat="1">
      <c r="A668" s="465"/>
      <c r="B668" s="21" t="s">
        <v>3241</v>
      </c>
      <c r="C668" s="488"/>
      <c r="D668" s="344"/>
      <c r="E668" s="528"/>
      <c r="F668" s="345"/>
    </row>
    <row r="669" spans="1:6" s="12" customFormat="1">
      <c r="A669" s="465"/>
      <c r="B669" s="21" t="s">
        <v>3242</v>
      </c>
      <c r="C669" s="488"/>
      <c r="D669" s="344"/>
      <c r="E669" s="528"/>
      <c r="F669" s="345"/>
    </row>
    <row r="670" spans="1:6" s="12" customFormat="1">
      <c r="A670" s="465"/>
      <c r="B670" s="21" t="s">
        <v>3243</v>
      </c>
      <c r="C670" s="488"/>
      <c r="D670" s="344"/>
      <c r="E670" s="528"/>
      <c r="F670" s="345"/>
    </row>
    <row r="671" spans="1:6" s="12" customFormat="1">
      <c r="A671" s="465"/>
      <c r="B671" s="21" t="s">
        <v>3244</v>
      </c>
      <c r="C671" s="488"/>
      <c r="D671" s="344"/>
      <c r="E671" s="528"/>
      <c r="F671" s="345"/>
    </row>
    <row r="672" spans="1:6" s="12" customFormat="1">
      <c r="A672" s="465"/>
      <c r="B672" s="21" t="s">
        <v>3245</v>
      </c>
      <c r="C672" s="488"/>
      <c r="D672" s="344"/>
      <c r="E672" s="528"/>
      <c r="F672" s="345"/>
    </row>
    <row r="673" spans="1:6" s="12" customFormat="1">
      <c r="A673" s="465"/>
      <c r="B673" s="21" t="s">
        <v>3246</v>
      </c>
      <c r="C673" s="488"/>
      <c r="D673" s="344"/>
      <c r="E673" s="528"/>
      <c r="F673" s="345"/>
    </row>
    <row r="674" spans="1:6" s="12" customFormat="1">
      <c r="A674" s="465"/>
      <c r="B674" s="21" t="s">
        <v>3247</v>
      </c>
      <c r="C674" s="488"/>
      <c r="D674" s="344"/>
      <c r="E674" s="528"/>
      <c r="F674" s="345"/>
    </row>
    <row r="675" spans="1:6" s="12" customFormat="1" ht="30">
      <c r="A675" s="465"/>
      <c r="B675" s="21" t="s">
        <v>3248</v>
      </c>
      <c r="C675" s="488"/>
      <c r="D675" s="344"/>
      <c r="E675" s="528"/>
      <c r="F675" s="345"/>
    </row>
    <row r="676" spans="1:6" s="12" customFormat="1">
      <c r="A676" s="465"/>
      <c r="B676" s="21" t="s">
        <v>3249</v>
      </c>
      <c r="C676" s="488"/>
      <c r="D676" s="344"/>
      <c r="E676" s="528"/>
      <c r="F676" s="345"/>
    </row>
    <row r="677" spans="1:6" s="12" customFormat="1" ht="30">
      <c r="A677" s="465"/>
      <c r="B677" s="21" t="s">
        <v>3250</v>
      </c>
      <c r="C677" s="488"/>
      <c r="D677" s="344"/>
      <c r="E677" s="528"/>
      <c r="F677" s="345"/>
    </row>
    <row r="678" spans="1:6" s="12" customFormat="1">
      <c r="A678" s="465"/>
      <c r="B678" s="21" t="s">
        <v>3251</v>
      </c>
      <c r="C678" s="488"/>
      <c r="D678" s="344"/>
      <c r="E678" s="528"/>
      <c r="F678" s="345"/>
    </row>
    <row r="679" spans="1:6" s="12" customFormat="1">
      <c r="A679" s="465"/>
      <c r="B679" s="21" t="s">
        <v>3252</v>
      </c>
      <c r="C679" s="488"/>
      <c r="D679" s="344"/>
      <c r="E679" s="528"/>
      <c r="F679" s="345"/>
    </row>
    <row r="680" spans="1:6" s="12" customFormat="1" ht="30">
      <c r="A680" s="465"/>
      <c r="B680" s="21" t="s">
        <v>3253</v>
      </c>
      <c r="C680" s="488"/>
      <c r="D680" s="344"/>
      <c r="E680" s="528"/>
      <c r="F680" s="345"/>
    </row>
    <row r="681" spans="1:6" s="12" customFormat="1">
      <c r="A681" s="465"/>
      <c r="B681" s="21" t="s">
        <v>3254</v>
      </c>
      <c r="C681" s="488"/>
      <c r="D681" s="344"/>
      <c r="E681" s="528"/>
      <c r="F681" s="345"/>
    </row>
    <row r="682" spans="1:6" s="12" customFormat="1" ht="30">
      <c r="A682" s="465"/>
      <c r="B682" s="21" t="s">
        <v>3255</v>
      </c>
      <c r="C682" s="488"/>
      <c r="D682" s="344"/>
      <c r="E682" s="528"/>
      <c r="F682" s="345"/>
    </row>
    <row r="683" spans="1:6" s="12" customFormat="1" ht="30">
      <c r="A683" s="465"/>
      <c r="B683" s="21" t="s">
        <v>3256</v>
      </c>
      <c r="C683" s="488"/>
      <c r="D683" s="344"/>
      <c r="E683" s="528"/>
      <c r="F683" s="345"/>
    </row>
    <row r="684" spans="1:6" s="12" customFormat="1">
      <c r="A684" s="465"/>
      <c r="B684" s="21" t="s">
        <v>3257</v>
      </c>
      <c r="C684" s="488"/>
      <c r="D684" s="344"/>
      <c r="E684" s="528"/>
      <c r="F684" s="345"/>
    </row>
    <row r="685" spans="1:6" s="12" customFormat="1">
      <c r="A685" s="465"/>
      <c r="B685" s="21" t="s">
        <v>3258</v>
      </c>
      <c r="C685" s="488"/>
      <c r="D685" s="344"/>
      <c r="E685" s="528"/>
      <c r="F685" s="345"/>
    </row>
    <row r="686" spans="1:6" s="12" customFormat="1">
      <c r="A686" s="465"/>
      <c r="B686" s="21" t="s">
        <v>3259</v>
      </c>
      <c r="C686" s="488"/>
      <c r="D686" s="344"/>
      <c r="E686" s="528"/>
      <c r="F686" s="345"/>
    </row>
    <row r="687" spans="1:6" s="12" customFormat="1">
      <c r="A687" s="465"/>
      <c r="B687" s="21" t="s">
        <v>3260</v>
      </c>
      <c r="C687" s="488"/>
      <c r="D687" s="344"/>
      <c r="E687" s="528"/>
      <c r="F687" s="345"/>
    </row>
    <row r="688" spans="1:6" s="12" customFormat="1">
      <c r="A688" s="465"/>
      <c r="B688" s="21" t="s">
        <v>3261</v>
      </c>
      <c r="C688" s="488"/>
      <c r="D688" s="344"/>
      <c r="E688" s="528"/>
      <c r="F688" s="345"/>
    </row>
    <row r="689" spans="1:6" s="12" customFormat="1">
      <c r="A689" s="465"/>
      <c r="B689" s="21" t="s">
        <v>3262</v>
      </c>
      <c r="C689" s="488"/>
      <c r="D689" s="344"/>
      <c r="E689" s="528"/>
      <c r="F689" s="345"/>
    </row>
    <row r="690" spans="1:6" s="12" customFormat="1">
      <c r="A690" s="465"/>
      <c r="B690" s="21" t="s">
        <v>3263</v>
      </c>
      <c r="C690" s="488"/>
      <c r="D690" s="344"/>
      <c r="E690" s="528"/>
      <c r="F690" s="345"/>
    </row>
    <row r="691" spans="1:6" s="12" customFormat="1">
      <c r="A691" s="465"/>
      <c r="B691" s="21" t="s">
        <v>3264</v>
      </c>
      <c r="C691" s="488"/>
      <c r="D691" s="344"/>
      <c r="E691" s="528"/>
      <c r="F691" s="345"/>
    </row>
    <row r="692" spans="1:6" s="12" customFormat="1">
      <c r="A692" s="465"/>
      <c r="B692" s="21" t="s">
        <v>3265</v>
      </c>
      <c r="C692" s="488"/>
      <c r="D692" s="344"/>
      <c r="E692" s="528"/>
      <c r="F692" s="345"/>
    </row>
    <row r="693" spans="1:6" s="12" customFormat="1">
      <c r="A693" s="465"/>
      <c r="B693" s="21" t="s">
        <v>3266</v>
      </c>
      <c r="C693" s="488"/>
      <c r="D693" s="344"/>
      <c r="E693" s="528"/>
      <c r="F693" s="345"/>
    </row>
    <row r="694" spans="1:6" s="12" customFormat="1">
      <c r="A694" s="465"/>
      <c r="B694" s="21" t="s">
        <v>3267</v>
      </c>
      <c r="C694" s="488"/>
      <c r="D694" s="344"/>
      <c r="E694" s="528"/>
      <c r="F694" s="345"/>
    </row>
    <row r="695" spans="1:6" s="12" customFormat="1">
      <c r="A695" s="465"/>
      <c r="B695" s="21" t="s">
        <v>3268</v>
      </c>
      <c r="C695" s="488"/>
      <c r="D695" s="344"/>
      <c r="E695" s="528"/>
      <c r="F695" s="345"/>
    </row>
    <row r="696" spans="1:6" s="12" customFormat="1">
      <c r="A696" s="465"/>
      <c r="B696" s="21" t="s">
        <v>3269</v>
      </c>
      <c r="C696" s="488"/>
      <c r="D696" s="344"/>
      <c r="E696" s="528"/>
      <c r="F696" s="345"/>
    </row>
    <row r="697" spans="1:6" s="12" customFormat="1">
      <c r="A697" s="465"/>
      <c r="B697" s="21" t="s">
        <v>3270</v>
      </c>
      <c r="C697" s="488"/>
      <c r="D697" s="344"/>
      <c r="E697" s="528"/>
      <c r="F697" s="345"/>
    </row>
    <row r="698" spans="1:6" s="12" customFormat="1">
      <c r="A698" s="465"/>
      <c r="B698" s="21" t="s">
        <v>3271</v>
      </c>
      <c r="C698" s="488"/>
      <c r="D698" s="344"/>
      <c r="E698" s="528"/>
      <c r="F698" s="345"/>
    </row>
    <row r="699" spans="1:6" s="12" customFormat="1">
      <c r="A699" s="465"/>
      <c r="B699" s="21" t="s">
        <v>3272</v>
      </c>
      <c r="C699" s="488"/>
      <c r="D699" s="344"/>
      <c r="E699" s="528"/>
      <c r="F699" s="345"/>
    </row>
    <row r="700" spans="1:6" s="12" customFormat="1">
      <c r="A700" s="465"/>
      <c r="B700" s="21" t="s">
        <v>3273</v>
      </c>
      <c r="C700" s="488"/>
      <c r="D700" s="344"/>
      <c r="E700" s="528"/>
      <c r="F700" s="345"/>
    </row>
    <row r="701" spans="1:6" s="12" customFormat="1" ht="30">
      <c r="A701" s="465"/>
      <c r="B701" s="21" t="s">
        <v>3274</v>
      </c>
      <c r="C701" s="488"/>
      <c r="D701" s="344"/>
      <c r="E701" s="528"/>
      <c r="F701" s="345"/>
    </row>
    <row r="702" spans="1:6" s="12" customFormat="1">
      <c r="A702" s="465"/>
      <c r="B702" s="21" t="s">
        <v>3244</v>
      </c>
      <c r="C702" s="488"/>
      <c r="D702" s="344"/>
      <c r="E702" s="528"/>
      <c r="F702" s="345"/>
    </row>
    <row r="703" spans="1:6" s="12" customFormat="1">
      <c r="A703" s="465"/>
      <c r="B703" s="21" t="s">
        <v>3245</v>
      </c>
      <c r="C703" s="488"/>
      <c r="D703" s="344"/>
      <c r="E703" s="528"/>
      <c r="F703" s="345"/>
    </row>
    <row r="704" spans="1:6" s="12" customFormat="1">
      <c r="A704" s="465"/>
      <c r="B704" s="21" t="s">
        <v>3275</v>
      </c>
      <c r="C704" s="488"/>
      <c r="D704" s="344"/>
      <c r="E704" s="528"/>
      <c r="F704" s="345"/>
    </row>
    <row r="705" spans="1:6" s="12" customFormat="1">
      <c r="A705" s="465"/>
      <c r="B705" s="21" t="s">
        <v>3276</v>
      </c>
      <c r="C705" s="488"/>
      <c r="D705" s="344"/>
      <c r="E705" s="528"/>
      <c r="F705" s="345"/>
    </row>
    <row r="706" spans="1:6" s="12" customFormat="1" ht="30">
      <c r="A706" s="465"/>
      <c r="B706" s="21" t="s">
        <v>3256</v>
      </c>
      <c r="C706" s="488"/>
      <c r="D706" s="344"/>
      <c r="E706" s="528"/>
      <c r="F706" s="345"/>
    </row>
    <row r="707" spans="1:6" s="12" customFormat="1">
      <c r="A707" s="465"/>
      <c r="B707" s="21" t="s">
        <v>3257</v>
      </c>
      <c r="C707" s="488"/>
      <c r="D707" s="344"/>
      <c r="E707" s="528"/>
      <c r="F707" s="345"/>
    </row>
    <row r="708" spans="1:6" s="12" customFormat="1">
      <c r="A708" s="465"/>
      <c r="B708" s="21" t="s">
        <v>3258</v>
      </c>
      <c r="C708" s="488"/>
      <c r="D708" s="344"/>
      <c r="E708" s="528"/>
      <c r="F708" s="345"/>
    </row>
    <row r="709" spans="1:6" s="12" customFormat="1">
      <c r="A709" s="465"/>
      <c r="B709" s="21" t="s">
        <v>3259</v>
      </c>
      <c r="C709" s="488"/>
      <c r="D709" s="344"/>
      <c r="E709" s="528"/>
      <c r="F709" s="345"/>
    </row>
    <row r="710" spans="1:6" s="12" customFormat="1">
      <c r="A710" s="465"/>
      <c r="B710" s="21" t="s">
        <v>3277</v>
      </c>
      <c r="C710" s="488"/>
      <c r="D710" s="344"/>
      <c r="E710" s="528"/>
      <c r="F710" s="345"/>
    </row>
    <row r="711" spans="1:6" s="12" customFormat="1">
      <c r="A711" s="465"/>
      <c r="B711" s="21" t="s">
        <v>3261</v>
      </c>
      <c r="C711" s="488"/>
      <c r="D711" s="344"/>
      <c r="E711" s="528"/>
      <c r="F711" s="345"/>
    </row>
    <row r="712" spans="1:6" s="12" customFormat="1" ht="45">
      <c r="A712" s="465"/>
      <c r="B712" s="21" t="s">
        <v>3278</v>
      </c>
      <c r="C712" s="488"/>
      <c r="D712" s="344"/>
      <c r="E712" s="528"/>
      <c r="F712" s="345"/>
    </row>
    <row r="713" spans="1:6" s="12" customFormat="1" ht="30">
      <c r="A713" s="465"/>
      <c r="B713" s="21" t="s">
        <v>3279</v>
      </c>
      <c r="C713" s="488"/>
      <c r="D713" s="344"/>
      <c r="E713" s="528"/>
      <c r="F713" s="345"/>
    </row>
    <row r="714" spans="1:6" s="12" customFormat="1" ht="90">
      <c r="A714" s="465"/>
      <c r="B714" s="21" t="s">
        <v>3280</v>
      </c>
      <c r="C714" s="488"/>
      <c r="D714" s="344"/>
      <c r="E714" s="528"/>
      <c r="F714" s="345"/>
    </row>
    <row r="715" spans="1:6" s="12" customFormat="1" ht="30">
      <c r="A715" s="465"/>
      <c r="B715" s="21" t="s">
        <v>3281</v>
      </c>
      <c r="C715" s="488"/>
      <c r="D715" s="344"/>
      <c r="E715" s="528"/>
      <c r="F715" s="345"/>
    </row>
    <row r="716" spans="1:6" s="12" customFormat="1" ht="30">
      <c r="A716" s="465"/>
      <c r="B716" s="21" t="s">
        <v>3282</v>
      </c>
      <c r="C716" s="296" t="s">
        <v>18</v>
      </c>
      <c r="D716" s="344">
        <v>4</v>
      </c>
      <c r="E716" s="528"/>
      <c r="F716" s="345"/>
    </row>
    <row r="717" spans="1:6" s="12" customFormat="1">
      <c r="A717" s="465"/>
      <c r="B717" s="21"/>
      <c r="C717" s="296"/>
      <c r="D717" s="344"/>
      <c r="E717" s="528"/>
      <c r="F717" s="345"/>
    </row>
    <row r="718" spans="1:6" s="12" customFormat="1">
      <c r="A718" s="465">
        <v>2</v>
      </c>
      <c r="B718" s="21" t="s">
        <v>3212</v>
      </c>
      <c r="C718" s="488"/>
      <c r="D718" s="344"/>
      <c r="E718" s="528"/>
      <c r="F718" s="345"/>
    </row>
    <row r="719" spans="1:6" s="12" customFormat="1" ht="150">
      <c r="A719" s="465"/>
      <c r="B719" s="21" t="s">
        <v>3213</v>
      </c>
      <c r="C719" s="488"/>
      <c r="D719" s="344"/>
      <c r="E719" s="528"/>
      <c r="F719" s="345"/>
    </row>
    <row r="720" spans="1:6" s="12" customFormat="1" ht="150">
      <c r="A720" s="465"/>
      <c r="B720" s="21" t="s">
        <v>3214</v>
      </c>
      <c r="C720" s="488"/>
      <c r="D720" s="344"/>
      <c r="E720" s="528"/>
      <c r="F720" s="345"/>
    </row>
    <row r="721" spans="1:6" s="12" customFormat="1" ht="30">
      <c r="A721" s="465"/>
      <c r="B721" s="21" t="s">
        <v>3215</v>
      </c>
      <c r="C721" s="488"/>
      <c r="D721" s="344"/>
      <c r="E721" s="528"/>
      <c r="F721" s="345"/>
    </row>
    <row r="722" spans="1:6" s="12" customFormat="1">
      <c r="A722" s="465"/>
      <c r="B722" s="21" t="s">
        <v>3216</v>
      </c>
      <c r="C722" s="488"/>
      <c r="D722" s="344"/>
      <c r="E722" s="528"/>
      <c r="F722" s="345"/>
    </row>
    <row r="723" spans="1:6" s="12" customFormat="1">
      <c r="A723" s="465"/>
      <c r="B723" s="21" t="s">
        <v>3217</v>
      </c>
      <c r="C723" s="488"/>
      <c r="D723" s="344"/>
      <c r="E723" s="528"/>
      <c r="F723" s="345"/>
    </row>
    <row r="724" spans="1:6" s="12" customFormat="1">
      <c r="A724" s="465"/>
      <c r="B724" s="21" t="s">
        <v>3218</v>
      </c>
      <c r="C724" s="488"/>
      <c r="D724" s="344"/>
      <c r="E724" s="528"/>
      <c r="F724" s="345"/>
    </row>
    <row r="725" spans="1:6" s="12" customFormat="1">
      <c r="A725" s="465"/>
      <c r="B725" s="21" t="s">
        <v>3219</v>
      </c>
      <c r="C725" s="488"/>
      <c r="D725" s="344"/>
      <c r="E725" s="528"/>
      <c r="F725" s="345"/>
    </row>
    <row r="726" spans="1:6" s="12" customFormat="1">
      <c r="A726" s="465"/>
      <c r="B726" s="21" t="s">
        <v>3220</v>
      </c>
      <c r="C726" s="488"/>
      <c r="D726" s="344"/>
      <c r="E726" s="528"/>
      <c r="F726" s="345"/>
    </row>
    <row r="727" spans="1:6" s="12" customFormat="1">
      <c r="A727" s="465"/>
      <c r="B727" s="21" t="s">
        <v>3221</v>
      </c>
      <c r="C727" s="488"/>
      <c r="D727" s="344"/>
      <c r="E727" s="528"/>
      <c r="F727" s="345"/>
    </row>
    <row r="728" spans="1:6" s="12" customFormat="1">
      <c r="A728" s="465"/>
      <c r="B728" s="21" t="s">
        <v>3062</v>
      </c>
      <c r="C728" s="488"/>
      <c r="D728" s="344"/>
      <c r="E728" s="528"/>
      <c r="F728" s="345"/>
    </row>
    <row r="729" spans="1:6" s="12" customFormat="1">
      <c r="A729" s="465"/>
      <c r="B729" s="21" t="s">
        <v>3283</v>
      </c>
      <c r="C729" s="488"/>
      <c r="D729" s="344"/>
      <c r="E729" s="528"/>
      <c r="F729" s="345"/>
    </row>
    <row r="730" spans="1:6" s="12" customFormat="1">
      <c r="A730" s="465"/>
      <c r="B730" s="21" t="s">
        <v>3284</v>
      </c>
      <c r="C730" s="488"/>
      <c r="D730" s="344"/>
      <c r="E730" s="528"/>
      <c r="F730" s="345"/>
    </row>
    <row r="731" spans="1:6" s="12" customFormat="1">
      <c r="A731" s="465"/>
      <c r="B731" s="21" t="s">
        <v>3224</v>
      </c>
      <c r="C731" s="488"/>
      <c r="D731" s="344"/>
      <c r="E731" s="528"/>
      <c r="F731" s="345"/>
    </row>
    <row r="732" spans="1:6" s="12" customFormat="1">
      <c r="A732" s="465"/>
      <c r="B732" s="21" t="s">
        <v>3285</v>
      </c>
      <c r="C732" s="488"/>
      <c r="D732" s="344"/>
      <c r="E732" s="528"/>
      <c r="F732" s="345"/>
    </row>
    <row r="733" spans="1:6" s="12" customFormat="1">
      <c r="A733" s="465"/>
      <c r="B733" s="21" t="s">
        <v>3286</v>
      </c>
      <c r="C733" s="488"/>
      <c r="D733" s="344"/>
      <c r="E733" s="528"/>
      <c r="F733" s="345"/>
    </row>
    <row r="734" spans="1:6" s="12" customFormat="1">
      <c r="A734" s="465"/>
      <c r="B734" s="21" t="s">
        <v>3287</v>
      </c>
      <c r="C734" s="488"/>
      <c r="D734" s="344"/>
      <c r="E734" s="528"/>
      <c r="F734" s="345"/>
    </row>
    <row r="735" spans="1:6" s="12" customFormat="1">
      <c r="A735" s="465"/>
      <c r="B735" s="21" t="s">
        <v>3288</v>
      </c>
      <c r="C735" s="488"/>
      <c r="D735" s="344"/>
      <c r="E735" s="528"/>
      <c r="F735" s="345"/>
    </row>
    <row r="736" spans="1:6" s="12" customFormat="1">
      <c r="A736" s="465"/>
      <c r="B736" s="21" t="s">
        <v>3229</v>
      </c>
      <c r="C736" s="488"/>
      <c r="D736" s="344"/>
      <c r="E736" s="528"/>
      <c r="F736" s="345"/>
    </row>
    <row r="737" spans="1:6" s="12" customFormat="1">
      <c r="A737" s="465"/>
      <c r="B737" s="21" t="s">
        <v>3289</v>
      </c>
      <c r="C737" s="488"/>
      <c r="D737" s="344"/>
      <c r="E737" s="528"/>
      <c r="F737" s="345"/>
    </row>
    <row r="738" spans="1:6" s="12" customFormat="1">
      <c r="A738" s="465"/>
      <c r="B738" s="21" t="s">
        <v>3290</v>
      </c>
      <c r="C738" s="488"/>
      <c r="D738" s="344"/>
      <c r="E738" s="528"/>
      <c r="F738" s="345"/>
    </row>
    <row r="739" spans="1:6" s="12" customFormat="1">
      <c r="A739" s="465"/>
      <c r="B739" s="21" t="s">
        <v>3291</v>
      </c>
      <c r="C739" s="488"/>
      <c r="D739" s="344"/>
      <c r="E739" s="528"/>
      <c r="F739" s="345"/>
    </row>
    <row r="740" spans="1:6" s="12" customFormat="1">
      <c r="A740" s="465"/>
      <c r="B740" s="21" t="s">
        <v>3292</v>
      </c>
      <c r="C740" s="488"/>
      <c r="D740" s="344"/>
      <c r="E740" s="528"/>
      <c r="F740" s="345"/>
    </row>
    <row r="741" spans="1:6" s="12" customFormat="1">
      <c r="A741" s="465"/>
      <c r="B741" s="21" t="s">
        <v>3293</v>
      </c>
      <c r="C741" s="488"/>
      <c r="D741" s="344"/>
      <c r="E741" s="528"/>
      <c r="F741" s="345"/>
    </row>
    <row r="742" spans="1:6" s="12" customFormat="1" ht="30">
      <c r="A742" s="465"/>
      <c r="B742" s="21" t="s">
        <v>3294</v>
      </c>
      <c r="C742" s="488"/>
      <c r="D742" s="344"/>
      <c r="E742" s="528"/>
      <c r="F742" s="345"/>
    </row>
    <row r="743" spans="1:6" s="12" customFormat="1" ht="30">
      <c r="A743" s="465"/>
      <c r="B743" s="21" t="s">
        <v>3295</v>
      </c>
      <c r="C743" s="488"/>
      <c r="D743" s="344"/>
      <c r="E743" s="528"/>
      <c r="F743" s="345"/>
    </row>
    <row r="744" spans="1:6" s="12" customFormat="1" ht="30">
      <c r="A744" s="465"/>
      <c r="B744" s="21" t="s">
        <v>3296</v>
      </c>
      <c r="C744" s="488"/>
      <c r="D744" s="344"/>
      <c r="E744" s="528"/>
      <c r="F744" s="345"/>
    </row>
    <row r="745" spans="1:6" s="12" customFormat="1">
      <c r="A745" s="465"/>
      <c r="B745" s="21" t="s">
        <v>3238</v>
      </c>
      <c r="C745" s="488"/>
      <c r="D745" s="344"/>
      <c r="E745" s="528"/>
      <c r="F745" s="345"/>
    </row>
    <row r="746" spans="1:6" s="12" customFormat="1" ht="45">
      <c r="A746" s="465"/>
      <c r="B746" s="21" t="s">
        <v>3239</v>
      </c>
      <c r="C746" s="488"/>
      <c r="D746" s="344"/>
      <c r="E746" s="528"/>
      <c r="F746" s="345"/>
    </row>
    <row r="747" spans="1:6" s="12" customFormat="1" ht="30">
      <c r="A747" s="465"/>
      <c r="B747" s="21" t="s">
        <v>3240</v>
      </c>
      <c r="C747" s="488"/>
      <c r="D747" s="344"/>
      <c r="E747" s="528"/>
      <c r="F747" s="345"/>
    </row>
    <row r="748" spans="1:6" s="12" customFormat="1">
      <c r="A748" s="465"/>
      <c r="B748" s="21" t="s">
        <v>3241</v>
      </c>
      <c r="C748" s="488"/>
      <c r="D748" s="344"/>
      <c r="E748" s="528"/>
      <c r="F748" s="345"/>
    </row>
    <row r="749" spans="1:6" s="12" customFormat="1">
      <c r="A749" s="465"/>
      <c r="B749" s="21" t="s">
        <v>3297</v>
      </c>
      <c r="C749" s="488"/>
      <c r="D749" s="344"/>
      <c r="E749" s="528"/>
      <c r="F749" s="345"/>
    </row>
    <row r="750" spans="1:6" s="12" customFormat="1">
      <c r="A750" s="465"/>
      <c r="B750" s="21" t="s">
        <v>3298</v>
      </c>
      <c r="C750" s="488"/>
      <c r="D750" s="344"/>
      <c r="E750" s="528"/>
      <c r="F750" s="345"/>
    </row>
    <row r="751" spans="1:6" s="12" customFormat="1">
      <c r="A751" s="465"/>
      <c r="B751" s="21" t="s">
        <v>3244</v>
      </c>
      <c r="C751" s="488"/>
      <c r="D751" s="344"/>
      <c r="E751" s="528"/>
      <c r="F751" s="345"/>
    </row>
    <row r="752" spans="1:6" s="12" customFormat="1">
      <c r="A752" s="465"/>
      <c r="B752" s="21" t="s">
        <v>3299</v>
      </c>
      <c r="C752" s="488"/>
      <c r="D752" s="344"/>
      <c r="E752" s="528"/>
      <c r="F752" s="345"/>
    </row>
    <row r="753" spans="1:6" s="12" customFormat="1">
      <c r="A753" s="465"/>
      <c r="B753" s="21" t="s">
        <v>3246</v>
      </c>
      <c r="C753" s="488"/>
      <c r="D753" s="344"/>
      <c r="E753" s="528"/>
      <c r="F753" s="345"/>
    </row>
    <row r="754" spans="1:6" s="12" customFormat="1">
      <c r="A754" s="465"/>
      <c r="B754" s="21" t="s">
        <v>3247</v>
      </c>
      <c r="C754" s="488"/>
      <c r="D754" s="344"/>
      <c r="E754" s="528"/>
      <c r="F754" s="345"/>
    </row>
    <row r="755" spans="1:6" s="12" customFormat="1" ht="30">
      <c r="A755" s="465"/>
      <c r="B755" s="21" t="s">
        <v>3248</v>
      </c>
      <c r="C755" s="488"/>
      <c r="D755" s="344"/>
      <c r="E755" s="528"/>
      <c r="F755" s="345"/>
    </row>
    <row r="756" spans="1:6" s="12" customFormat="1">
      <c r="A756" s="465"/>
      <c r="B756" s="21" t="s">
        <v>3300</v>
      </c>
      <c r="C756" s="488"/>
      <c r="D756" s="344"/>
      <c r="E756" s="528"/>
      <c r="F756" s="345"/>
    </row>
    <row r="757" spans="1:6" s="12" customFormat="1" ht="30">
      <c r="A757" s="465"/>
      <c r="B757" s="21" t="s">
        <v>3301</v>
      </c>
      <c r="C757" s="488"/>
      <c r="D757" s="344"/>
      <c r="E757" s="528"/>
      <c r="F757" s="345"/>
    </row>
    <row r="758" spans="1:6" s="12" customFormat="1">
      <c r="A758" s="465"/>
      <c r="B758" s="21" t="s">
        <v>3251</v>
      </c>
      <c r="C758" s="488"/>
      <c r="D758" s="344"/>
      <c r="E758" s="528"/>
      <c r="F758" s="345"/>
    </row>
    <row r="759" spans="1:6" s="12" customFormat="1">
      <c r="A759" s="465"/>
      <c r="B759" s="21" t="s">
        <v>3252</v>
      </c>
      <c r="C759" s="488"/>
      <c r="D759" s="344"/>
      <c r="E759" s="528"/>
      <c r="F759" s="345"/>
    </row>
    <row r="760" spans="1:6" s="12" customFormat="1" ht="30">
      <c r="A760" s="465"/>
      <c r="B760" s="21" t="s">
        <v>3253</v>
      </c>
      <c r="C760" s="488"/>
      <c r="D760" s="344"/>
      <c r="E760" s="528"/>
      <c r="F760" s="345"/>
    </row>
    <row r="761" spans="1:6" s="12" customFormat="1">
      <c r="A761" s="465"/>
      <c r="B761" s="21" t="s">
        <v>3302</v>
      </c>
      <c r="C761" s="488"/>
      <c r="D761" s="344"/>
      <c r="E761" s="528"/>
      <c r="F761" s="345"/>
    </row>
    <row r="762" spans="1:6" s="12" customFormat="1" ht="30">
      <c r="A762" s="465"/>
      <c r="B762" s="21" t="s">
        <v>3303</v>
      </c>
      <c r="C762" s="488"/>
      <c r="D762" s="344"/>
      <c r="E762" s="528"/>
      <c r="F762" s="345"/>
    </row>
    <row r="763" spans="1:6" s="12" customFormat="1" ht="30">
      <c r="A763" s="465"/>
      <c r="B763" s="21" t="s">
        <v>3256</v>
      </c>
      <c r="C763" s="488"/>
      <c r="D763" s="344"/>
      <c r="E763" s="528"/>
      <c r="F763" s="345"/>
    </row>
    <row r="764" spans="1:6" s="12" customFormat="1">
      <c r="A764" s="465"/>
      <c r="B764" s="21" t="s">
        <v>3304</v>
      </c>
      <c r="C764" s="488"/>
      <c r="D764" s="344"/>
      <c r="E764" s="528"/>
      <c r="F764" s="345"/>
    </row>
    <row r="765" spans="1:6" s="12" customFormat="1">
      <c r="A765" s="465"/>
      <c r="B765" s="21" t="s">
        <v>3305</v>
      </c>
      <c r="C765" s="488"/>
      <c r="D765" s="344"/>
      <c r="E765" s="528"/>
      <c r="F765" s="345"/>
    </row>
    <row r="766" spans="1:6" s="12" customFormat="1">
      <c r="A766" s="465"/>
      <c r="B766" s="21" t="s">
        <v>3306</v>
      </c>
      <c r="C766" s="488"/>
      <c r="D766" s="344"/>
      <c r="E766" s="528"/>
      <c r="F766" s="345"/>
    </row>
    <row r="767" spans="1:6" s="12" customFormat="1">
      <c r="A767" s="465"/>
      <c r="B767" s="21" t="s">
        <v>3307</v>
      </c>
      <c r="C767" s="488"/>
      <c r="D767" s="344"/>
      <c r="E767" s="528"/>
      <c r="F767" s="345"/>
    </row>
    <row r="768" spans="1:6" s="12" customFormat="1">
      <c r="A768" s="465"/>
      <c r="B768" s="21" t="s">
        <v>3308</v>
      </c>
      <c r="C768" s="488"/>
      <c r="D768" s="344"/>
      <c r="E768" s="528"/>
      <c r="F768" s="345"/>
    </row>
    <row r="769" spans="1:6" s="12" customFormat="1">
      <c r="A769" s="465"/>
      <c r="B769" s="21" t="s">
        <v>3262</v>
      </c>
      <c r="C769" s="488"/>
      <c r="D769" s="344"/>
      <c r="E769" s="528"/>
      <c r="F769" s="345"/>
    </row>
    <row r="770" spans="1:6" s="12" customFormat="1">
      <c r="A770" s="465"/>
      <c r="B770" s="21" t="s">
        <v>3309</v>
      </c>
      <c r="C770" s="488"/>
      <c r="D770" s="344"/>
      <c r="E770" s="528"/>
      <c r="F770" s="345"/>
    </row>
    <row r="771" spans="1:6" s="12" customFormat="1">
      <c r="A771" s="465"/>
      <c r="B771" s="21" t="s">
        <v>3264</v>
      </c>
      <c r="C771" s="488"/>
      <c r="D771" s="344"/>
      <c r="E771" s="528"/>
      <c r="F771" s="345"/>
    </row>
    <row r="772" spans="1:6" s="12" customFormat="1">
      <c r="A772" s="465"/>
      <c r="B772" s="21" t="s">
        <v>3310</v>
      </c>
      <c r="C772" s="488"/>
      <c r="D772" s="344"/>
      <c r="E772" s="528"/>
      <c r="F772" s="345"/>
    </row>
    <row r="773" spans="1:6" s="12" customFormat="1">
      <c r="A773" s="465"/>
      <c r="B773" s="21" t="s">
        <v>3266</v>
      </c>
      <c r="C773" s="488"/>
      <c r="D773" s="344"/>
      <c r="E773" s="528"/>
      <c r="F773" s="345"/>
    </row>
    <row r="774" spans="1:6" s="12" customFormat="1">
      <c r="A774" s="465"/>
      <c r="B774" s="21" t="s">
        <v>3267</v>
      </c>
      <c r="C774" s="488"/>
      <c r="D774" s="344"/>
      <c r="E774" s="528"/>
      <c r="F774" s="345"/>
    </row>
    <row r="775" spans="1:6" s="12" customFormat="1">
      <c r="A775" s="465"/>
      <c r="B775" s="21" t="s">
        <v>3268</v>
      </c>
      <c r="C775" s="488"/>
      <c r="D775" s="344"/>
      <c r="E775" s="528"/>
      <c r="F775" s="345"/>
    </row>
    <row r="776" spans="1:6" s="12" customFormat="1">
      <c r="A776" s="465"/>
      <c r="B776" s="21" t="s">
        <v>3311</v>
      </c>
      <c r="C776" s="488"/>
      <c r="D776" s="344"/>
      <c r="E776" s="528"/>
      <c r="F776" s="345"/>
    </row>
    <row r="777" spans="1:6" s="12" customFormat="1">
      <c r="A777" s="465"/>
      <c r="B777" s="21" t="s">
        <v>3312</v>
      </c>
      <c r="C777" s="488"/>
      <c r="D777" s="344"/>
      <c r="E777" s="528"/>
      <c r="F777" s="345"/>
    </row>
    <row r="778" spans="1:6" s="12" customFormat="1">
      <c r="A778" s="465"/>
      <c r="B778" s="21" t="s">
        <v>3271</v>
      </c>
      <c r="C778" s="488"/>
      <c r="D778" s="344"/>
      <c r="E778" s="528"/>
      <c r="F778" s="345"/>
    </row>
    <row r="779" spans="1:6" s="12" customFormat="1">
      <c r="A779" s="465"/>
      <c r="B779" s="21" t="s">
        <v>3272</v>
      </c>
      <c r="C779" s="488"/>
      <c r="D779" s="344"/>
      <c r="E779" s="528"/>
      <c r="F779" s="345"/>
    </row>
    <row r="780" spans="1:6" s="12" customFormat="1">
      <c r="A780" s="465"/>
      <c r="B780" s="21" t="s">
        <v>3273</v>
      </c>
      <c r="C780" s="488"/>
      <c r="D780" s="344"/>
      <c r="E780" s="528"/>
      <c r="F780" s="345"/>
    </row>
    <row r="781" spans="1:6" s="12" customFormat="1" ht="30">
      <c r="A781" s="465"/>
      <c r="B781" s="21" t="s">
        <v>3274</v>
      </c>
      <c r="C781" s="488"/>
      <c r="D781" s="344"/>
      <c r="E781" s="528"/>
      <c r="F781" s="345"/>
    </row>
    <row r="782" spans="1:6" s="12" customFormat="1">
      <c r="A782" s="465"/>
      <c r="B782" s="21" t="s">
        <v>3244</v>
      </c>
      <c r="C782" s="488"/>
      <c r="D782" s="344"/>
      <c r="E782" s="528"/>
      <c r="F782" s="345"/>
    </row>
    <row r="783" spans="1:6" s="12" customFormat="1">
      <c r="A783" s="465"/>
      <c r="B783" s="21" t="s">
        <v>3299</v>
      </c>
      <c r="C783" s="488"/>
      <c r="D783" s="344"/>
      <c r="E783" s="528"/>
      <c r="F783" s="345"/>
    </row>
    <row r="784" spans="1:6" s="12" customFormat="1">
      <c r="A784" s="465"/>
      <c r="B784" s="21" t="s">
        <v>3275</v>
      </c>
      <c r="C784" s="488"/>
      <c r="D784" s="344"/>
      <c r="E784" s="528"/>
      <c r="F784" s="345"/>
    </row>
    <row r="785" spans="1:6" s="12" customFormat="1">
      <c r="A785" s="465"/>
      <c r="B785" s="21" t="s">
        <v>3276</v>
      </c>
      <c r="C785" s="488"/>
      <c r="D785" s="344"/>
      <c r="E785" s="528"/>
      <c r="F785" s="345"/>
    </row>
    <row r="786" spans="1:6" s="12" customFormat="1" ht="30">
      <c r="A786" s="465"/>
      <c r="B786" s="21" t="s">
        <v>3256</v>
      </c>
      <c r="C786" s="488"/>
      <c r="D786" s="344"/>
      <c r="E786" s="528"/>
      <c r="F786" s="345"/>
    </row>
    <row r="787" spans="1:6" s="12" customFormat="1">
      <c r="A787" s="465"/>
      <c r="B787" s="21" t="s">
        <v>3304</v>
      </c>
      <c r="C787" s="488"/>
      <c r="D787" s="344"/>
      <c r="E787" s="528"/>
      <c r="F787" s="345"/>
    </row>
    <row r="788" spans="1:6" s="12" customFormat="1">
      <c r="A788" s="465"/>
      <c r="B788" s="21" t="s">
        <v>3305</v>
      </c>
      <c r="C788" s="488"/>
      <c r="D788" s="344"/>
      <c r="E788" s="528"/>
      <c r="F788" s="345"/>
    </row>
    <row r="789" spans="1:6" s="12" customFormat="1">
      <c r="A789" s="465"/>
      <c r="B789" s="21" t="s">
        <v>3306</v>
      </c>
      <c r="C789" s="488"/>
      <c r="D789" s="344"/>
      <c r="E789" s="528"/>
      <c r="F789" s="345"/>
    </row>
    <row r="790" spans="1:6" s="12" customFormat="1">
      <c r="A790" s="465"/>
      <c r="B790" s="21" t="s">
        <v>3307</v>
      </c>
      <c r="C790" s="488"/>
      <c r="D790" s="344"/>
      <c r="E790" s="528"/>
      <c r="F790" s="345"/>
    </row>
    <row r="791" spans="1:6" s="12" customFormat="1">
      <c r="A791" s="465"/>
      <c r="B791" s="21" t="s">
        <v>3308</v>
      </c>
      <c r="C791" s="488"/>
      <c r="D791" s="344"/>
      <c r="E791" s="528"/>
      <c r="F791" s="345"/>
    </row>
    <row r="792" spans="1:6" s="12" customFormat="1" ht="45">
      <c r="A792" s="465"/>
      <c r="B792" s="21" t="s">
        <v>3278</v>
      </c>
      <c r="C792" s="488"/>
      <c r="D792" s="344"/>
      <c r="E792" s="528"/>
      <c r="F792" s="345"/>
    </row>
    <row r="793" spans="1:6" s="12" customFormat="1" ht="30">
      <c r="A793" s="465"/>
      <c r="B793" s="21" t="s">
        <v>3279</v>
      </c>
      <c r="C793" s="488"/>
      <c r="D793" s="344"/>
      <c r="E793" s="528"/>
      <c r="F793" s="345"/>
    </row>
    <row r="794" spans="1:6" s="12" customFormat="1" ht="90">
      <c r="A794" s="465"/>
      <c r="B794" s="21" t="s">
        <v>3280</v>
      </c>
      <c r="C794" s="488"/>
      <c r="D794" s="344"/>
      <c r="E794" s="528"/>
      <c r="F794" s="345"/>
    </row>
    <row r="795" spans="1:6" s="12" customFormat="1" ht="30">
      <c r="A795" s="465"/>
      <c r="B795" s="21" t="s">
        <v>3313</v>
      </c>
      <c r="C795" s="488"/>
      <c r="D795" s="344"/>
      <c r="E795" s="528"/>
      <c r="F795" s="345"/>
    </row>
    <row r="796" spans="1:6" s="12" customFormat="1" ht="30">
      <c r="A796" s="465"/>
      <c r="B796" s="21" t="s">
        <v>3282</v>
      </c>
      <c r="C796" s="296" t="s">
        <v>18</v>
      </c>
      <c r="D796" s="344">
        <v>4</v>
      </c>
      <c r="E796" s="528"/>
      <c r="F796" s="345"/>
    </row>
    <row r="797" spans="1:6" s="12" customFormat="1">
      <c r="A797" s="465"/>
      <c r="B797" s="21"/>
      <c r="C797" s="296"/>
      <c r="D797" s="344"/>
      <c r="E797" s="528"/>
      <c r="F797" s="345"/>
    </row>
    <row r="798" spans="1:6" s="12" customFormat="1" ht="75">
      <c r="A798" s="435">
        <v>3</v>
      </c>
      <c r="B798" s="21" t="s">
        <v>3314</v>
      </c>
      <c r="C798" s="296" t="s">
        <v>18</v>
      </c>
      <c r="D798" s="344">
        <v>5</v>
      </c>
      <c r="E798" s="528"/>
      <c r="F798" s="345"/>
    </row>
    <row r="799" spans="1:6" s="12" customFormat="1">
      <c r="A799" s="435"/>
      <c r="B799" s="21"/>
      <c r="C799" s="488"/>
      <c r="D799" s="344"/>
      <c r="E799" s="528"/>
      <c r="F799" s="345"/>
    </row>
    <row r="800" spans="1:6" s="12" customFormat="1" ht="165">
      <c r="A800" s="435">
        <v>4</v>
      </c>
      <c r="B800" s="21" t="s">
        <v>3315</v>
      </c>
      <c r="C800" s="488"/>
      <c r="D800" s="344"/>
      <c r="E800" s="528"/>
      <c r="F800" s="345"/>
    </row>
    <row r="801" spans="1:6" s="12" customFormat="1" ht="30">
      <c r="A801" s="465"/>
      <c r="B801" s="21" t="s">
        <v>3316</v>
      </c>
      <c r="C801" s="488" t="s">
        <v>18</v>
      </c>
      <c r="D801" s="344">
        <v>7</v>
      </c>
      <c r="E801" s="528"/>
      <c r="F801" s="345"/>
    </row>
    <row r="802" spans="1:6" s="12" customFormat="1">
      <c r="A802" s="465"/>
      <c r="B802" s="21"/>
      <c r="C802" s="488"/>
      <c r="D802" s="344"/>
      <c r="E802" s="528"/>
      <c r="F802" s="345"/>
    </row>
    <row r="803" spans="1:6" s="12" customFormat="1" ht="90">
      <c r="A803" s="435">
        <v>5</v>
      </c>
      <c r="B803" s="21" t="s">
        <v>3317</v>
      </c>
      <c r="C803" s="296"/>
      <c r="D803" s="344"/>
      <c r="E803" s="528"/>
      <c r="F803" s="345"/>
    </row>
    <row r="804" spans="1:6" s="12" customFormat="1">
      <c r="A804" s="465"/>
      <c r="B804" s="21" t="s">
        <v>3318</v>
      </c>
      <c r="C804" s="296" t="s">
        <v>280</v>
      </c>
      <c r="D804" s="344">
        <v>7</v>
      </c>
      <c r="E804" s="528"/>
      <c r="F804" s="345"/>
    </row>
    <row r="805" spans="1:6" s="12" customFormat="1">
      <c r="A805" s="465"/>
      <c r="B805" s="21"/>
      <c r="C805" s="488"/>
      <c r="D805" s="344"/>
      <c r="E805" s="528"/>
      <c r="F805" s="345"/>
    </row>
    <row r="806" spans="1:6" s="12" customFormat="1" ht="90">
      <c r="A806" s="435">
        <f>SUM(A803:A805) +1</f>
        <v>6</v>
      </c>
      <c r="B806" s="21" t="s">
        <v>3319</v>
      </c>
      <c r="C806" s="488"/>
      <c r="D806" s="344"/>
      <c r="E806" s="528"/>
      <c r="F806" s="345"/>
    </row>
    <row r="807" spans="1:6" s="12" customFormat="1">
      <c r="A807" s="465"/>
      <c r="B807" s="21" t="s">
        <v>3320</v>
      </c>
      <c r="C807" s="296" t="s">
        <v>18</v>
      </c>
      <c r="D807" s="344">
        <v>8</v>
      </c>
      <c r="E807" s="528"/>
      <c r="F807" s="345"/>
    </row>
    <row r="808" spans="1:6" s="12" customFormat="1">
      <c r="A808" s="465"/>
      <c r="B808" s="21" t="s">
        <v>3321</v>
      </c>
      <c r="C808" s="488" t="s">
        <v>18</v>
      </c>
      <c r="D808" s="344">
        <v>2</v>
      </c>
      <c r="E808" s="528"/>
      <c r="F808" s="345"/>
    </row>
    <row r="809" spans="1:6" s="12" customFormat="1">
      <c r="A809" s="465"/>
      <c r="B809" s="21"/>
      <c r="C809" s="488"/>
      <c r="D809" s="344"/>
      <c r="E809" s="528"/>
      <c r="F809" s="345"/>
    </row>
    <row r="810" spans="1:6" s="12" customFormat="1" ht="75">
      <c r="A810" s="435">
        <f>SUM(A806:A809) +1</f>
        <v>7</v>
      </c>
      <c r="B810" s="21" t="s">
        <v>3322</v>
      </c>
      <c r="C810" s="529"/>
      <c r="D810" s="344"/>
      <c r="E810" s="528"/>
      <c r="F810" s="345"/>
    </row>
    <row r="811" spans="1:6" s="12" customFormat="1" ht="30">
      <c r="A811" s="465"/>
      <c r="B811" s="21" t="s">
        <v>3323</v>
      </c>
      <c r="C811" s="529" t="s">
        <v>18</v>
      </c>
      <c r="D811" s="344">
        <v>16</v>
      </c>
      <c r="E811" s="528"/>
      <c r="F811" s="345"/>
    </row>
    <row r="812" spans="1:6" s="12" customFormat="1" ht="30">
      <c r="A812" s="465"/>
      <c r="B812" s="21" t="s">
        <v>3324</v>
      </c>
      <c r="C812" s="529" t="s">
        <v>18</v>
      </c>
      <c r="D812" s="344">
        <v>4</v>
      </c>
      <c r="E812" s="528"/>
      <c r="F812" s="345"/>
    </row>
    <row r="813" spans="1:6" s="12" customFormat="1">
      <c r="A813" s="465"/>
      <c r="B813" s="21"/>
      <c r="C813" s="296"/>
      <c r="D813" s="344"/>
      <c r="E813" s="528"/>
      <c r="F813" s="528"/>
    </row>
    <row r="814" spans="1:6" s="12" customFormat="1" ht="75">
      <c r="A814" s="435">
        <f>SUM(A810:A813) +1</f>
        <v>8</v>
      </c>
      <c r="B814" s="21" t="s">
        <v>3325</v>
      </c>
      <c r="D814" s="344"/>
    </row>
    <row r="815" spans="1:6" s="12" customFormat="1">
      <c r="A815" s="465"/>
      <c r="B815" s="21" t="s">
        <v>3326</v>
      </c>
      <c r="C815" s="529" t="s">
        <v>18</v>
      </c>
      <c r="D815" s="344">
        <v>6</v>
      </c>
      <c r="E815" s="528"/>
      <c r="F815" s="345"/>
    </row>
    <row r="816" spans="1:6" s="12" customFormat="1">
      <c r="A816" s="465"/>
      <c r="B816" s="21" t="s">
        <v>3327</v>
      </c>
      <c r="C816" s="529" t="s">
        <v>18</v>
      </c>
      <c r="D816" s="344">
        <v>7</v>
      </c>
      <c r="E816" s="528"/>
      <c r="F816" s="345"/>
    </row>
    <row r="817" spans="1:6" s="12" customFormat="1">
      <c r="A817" s="465"/>
      <c r="B817" s="530"/>
      <c r="C817" s="296"/>
      <c r="D817" s="344"/>
      <c r="E817" s="528"/>
      <c r="F817" s="528"/>
    </row>
    <row r="818" spans="1:6" s="12" customFormat="1" ht="60">
      <c r="A818" s="435">
        <v>9</v>
      </c>
      <c r="B818" s="233" t="s">
        <v>3328</v>
      </c>
      <c r="C818" s="529"/>
      <c r="D818" s="344"/>
      <c r="E818" s="531"/>
      <c r="F818" s="531"/>
    </row>
    <row r="819" spans="1:6" s="12" customFormat="1">
      <c r="A819" s="435"/>
      <c r="B819" s="6" t="s">
        <v>3335</v>
      </c>
      <c r="C819" s="296" t="s">
        <v>280</v>
      </c>
      <c r="D819" s="296">
        <v>44</v>
      </c>
      <c r="E819" s="501"/>
      <c r="F819" s="345"/>
    </row>
    <row r="820" spans="1:6" s="12" customFormat="1">
      <c r="A820" s="435"/>
      <c r="B820" s="6" t="s">
        <v>3404</v>
      </c>
      <c r="C820" s="296" t="s">
        <v>280</v>
      </c>
      <c r="D820" s="296">
        <v>48</v>
      </c>
      <c r="E820" s="501"/>
      <c r="F820" s="345"/>
    </row>
    <row r="821" spans="1:6" s="12" customFormat="1">
      <c r="A821" s="435"/>
      <c r="B821" s="6" t="s">
        <v>3329</v>
      </c>
      <c r="C821" s="296" t="s">
        <v>280</v>
      </c>
      <c r="D821" s="296">
        <v>46</v>
      </c>
      <c r="E821" s="501"/>
      <c r="F821" s="345"/>
    </row>
    <row r="822" spans="1:6" s="12" customFormat="1">
      <c r="A822" s="465"/>
      <c r="B822" s="343" t="s">
        <v>3330</v>
      </c>
      <c r="C822" s="296" t="s">
        <v>280</v>
      </c>
      <c r="D822" s="344">
        <v>160</v>
      </c>
      <c r="E822" s="501"/>
      <c r="F822" s="345"/>
    </row>
    <row r="823" spans="1:6" s="12" customFormat="1">
      <c r="A823" s="465"/>
      <c r="B823" s="343" t="s">
        <v>3331</v>
      </c>
      <c r="C823" s="296" t="s">
        <v>280</v>
      </c>
      <c r="D823" s="344">
        <v>10</v>
      </c>
      <c r="E823" s="501"/>
      <c r="F823" s="345"/>
    </row>
    <row r="824" spans="1:6" s="12" customFormat="1">
      <c r="A824" s="465"/>
      <c r="B824" s="343" t="s">
        <v>3332</v>
      </c>
      <c r="C824" s="296" t="s">
        <v>280</v>
      </c>
      <c r="D824" s="344">
        <v>22</v>
      </c>
      <c r="E824" s="501"/>
      <c r="F824" s="345"/>
    </row>
    <row r="825" spans="1:6" s="12" customFormat="1">
      <c r="A825" s="465"/>
      <c r="B825" s="343"/>
      <c r="C825" s="529"/>
      <c r="D825" s="344"/>
      <c r="E825" s="531"/>
      <c r="F825" s="531"/>
    </row>
    <row r="826" spans="1:6" s="12" customFormat="1" ht="75">
      <c r="A826" s="435">
        <v>10</v>
      </c>
      <c r="B826" s="532" t="s">
        <v>3333</v>
      </c>
      <c r="C826" s="529" t="s">
        <v>11</v>
      </c>
      <c r="D826" s="344">
        <v>250</v>
      </c>
      <c r="E826" s="528"/>
      <c r="F826" s="345"/>
    </row>
    <row r="827" spans="1:6" s="12" customFormat="1">
      <c r="A827" s="465"/>
      <c r="B827" s="21"/>
      <c r="C827" s="529"/>
      <c r="D827" s="344"/>
      <c r="E827" s="531"/>
      <c r="F827" s="531"/>
    </row>
    <row r="828" spans="1:6" s="12" customFormat="1" ht="315">
      <c r="A828" s="435">
        <f>A826+1</f>
        <v>11</v>
      </c>
      <c r="B828" s="532" t="s">
        <v>3334</v>
      </c>
      <c r="C828" s="529"/>
      <c r="D828" s="344"/>
      <c r="E828" s="528"/>
      <c r="F828" s="345"/>
    </row>
    <row r="829" spans="1:6" s="12" customFormat="1">
      <c r="A829" s="465"/>
      <c r="B829" s="343" t="s">
        <v>3335</v>
      </c>
      <c r="C829" s="296" t="s">
        <v>18</v>
      </c>
      <c r="D829" s="344">
        <v>10</v>
      </c>
      <c r="E829" s="501"/>
      <c r="F829" s="345"/>
    </row>
    <row r="830" spans="1:6" s="12" customFormat="1">
      <c r="A830" s="435"/>
      <c r="B830" s="6"/>
      <c r="C830" s="296"/>
      <c r="D830" s="296"/>
      <c r="E830" s="501"/>
      <c r="F830" s="501"/>
    </row>
    <row r="831" spans="1:6" s="12" customFormat="1" ht="45">
      <c r="A831" s="435">
        <v>12</v>
      </c>
      <c r="B831" s="6" t="s">
        <v>3336</v>
      </c>
      <c r="C831" s="296"/>
      <c r="D831" s="296"/>
      <c r="E831" s="501"/>
      <c r="F831" s="501"/>
    </row>
    <row r="832" spans="1:6" s="12" customFormat="1">
      <c r="A832" s="435"/>
      <c r="B832" s="6" t="s">
        <v>3337</v>
      </c>
      <c r="C832" s="296" t="s">
        <v>18</v>
      </c>
      <c r="D832" s="296">
        <v>26</v>
      </c>
      <c r="E832" s="501"/>
      <c r="F832" s="345"/>
    </row>
    <row r="833" spans="1:6" s="12" customFormat="1">
      <c r="A833" s="435"/>
      <c r="B833" s="6"/>
      <c r="C833" s="296"/>
      <c r="D833" s="296" t="s">
        <v>34</v>
      </c>
      <c r="E833" s="501"/>
      <c r="F833" s="501"/>
    </row>
    <row r="834" spans="1:6" s="12" customFormat="1" ht="60">
      <c r="A834" s="435">
        <f>SUM(A831:A833) +1</f>
        <v>13</v>
      </c>
      <c r="B834" s="6" t="s">
        <v>3016</v>
      </c>
      <c r="C834" s="529" t="s">
        <v>21</v>
      </c>
      <c r="D834" s="344">
        <v>470</v>
      </c>
      <c r="E834" s="528"/>
      <c r="F834" s="345"/>
    </row>
    <row r="835" spans="1:6" s="12" customFormat="1">
      <c r="A835" s="465"/>
      <c r="B835" s="21"/>
      <c r="C835" s="296"/>
      <c r="D835" s="344"/>
      <c r="E835" s="528"/>
      <c r="F835" s="528"/>
    </row>
    <row r="836" spans="1:6" s="12" customFormat="1" ht="75">
      <c r="A836" s="435">
        <f>SUM(A834:A835) +1</f>
        <v>14</v>
      </c>
      <c r="B836" s="533" t="s">
        <v>3338</v>
      </c>
      <c r="C836" s="534"/>
      <c r="D836" s="344"/>
      <c r="E836" s="531"/>
      <c r="F836" s="531"/>
    </row>
    <row r="837" spans="1:6" s="12" customFormat="1">
      <c r="A837" s="325"/>
      <c r="B837" s="533" t="s">
        <v>3339</v>
      </c>
      <c r="C837" s="296" t="s">
        <v>130</v>
      </c>
      <c r="D837" s="344">
        <v>6</v>
      </c>
      <c r="E837" s="528"/>
      <c r="F837" s="345"/>
    </row>
    <row r="838" spans="1:6" s="12" customFormat="1">
      <c r="A838" s="325"/>
      <c r="B838" s="535"/>
      <c r="C838" s="534"/>
      <c r="D838" s="526"/>
      <c r="E838" s="531"/>
      <c r="F838" s="531"/>
    </row>
    <row r="839" spans="1:6" s="12" customFormat="1" ht="75">
      <c r="A839" s="435">
        <f>SUM(A836:A838) +1</f>
        <v>15</v>
      </c>
      <c r="B839" s="446" t="s">
        <v>3340</v>
      </c>
      <c r="C839" s="296" t="s">
        <v>76</v>
      </c>
      <c r="D839" s="344">
        <v>5</v>
      </c>
      <c r="E839" s="518"/>
      <c r="F839" s="345"/>
    </row>
    <row r="840" spans="1:6" s="12" customFormat="1">
      <c r="A840" s="465"/>
      <c r="B840" s="446"/>
      <c r="D840" s="12" t="s">
        <v>34</v>
      </c>
    </row>
    <row r="841" spans="1:6" s="12" customFormat="1" ht="75">
      <c r="A841" s="435">
        <v>16</v>
      </c>
      <c r="B841" s="446" t="s">
        <v>3341</v>
      </c>
      <c r="C841" s="344" t="s">
        <v>76</v>
      </c>
      <c r="D841" s="344">
        <v>1</v>
      </c>
      <c r="E841" s="518"/>
      <c r="F841" s="345"/>
    </row>
    <row r="842" spans="1:6" s="12" customFormat="1">
      <c r="A842" s="465"/>
      <c r="B842" s="446"/>
      <c r="D842" s="12" t="s">
        <v>34</v>
      </c>
    </row>
    <row r="843" spans="1:6" s="12" customFormat="1" ht="90">
      <c r="A843" s="435">
        <f>SUM(A841:A842) +1</f>
        <v>17</v>
      </c>
      <c r="B843" s="446" t="s">
        <v>3342</v>
      </c>
      <c r="C843" s="344" t="s">
        <v>18</v>
      </c>
      <c r="D843" s="344">
        <v>1</v>
      </c>
      <c r="E843" s="518"/>
      <c r="F843" s="345"/>
    </row>
    <row r="844" spans="1:6" s="12" customFormat="1">
      <c r="A844" s="465"/>
      <c r="B844" s="446"/>
      <c r="C844" s="344"/>
      <c r="D844" s="344"/>
      <c r="E844" s="518"/>
      <c r="F844" s="345"/>
    </row>
    <row r="845" spans="1:6" s="12" customFormat="1" ht="30">
      <c r="A845" s="435">
        <v>18</v>
      </c>
      <c r="B845" s="446" t="s">
        <v>3343</v>
      </c>
      <c r="C845" s="344" t="s">
        <v>76</v>
      </c>
      <c r="D845" s="344">
        <v>1</v>
      </c>
      <c r="E845" s="518"/>
      <c r="F845" s="345"/>
    </row>
    <row r="846" spans="1:6" s="12" customFormat="1">
      <c r="A846" s="435"/>
      <c r="B846" s="599"/>
      <c r="C846" s="344"/>
      <c r="D846" s="344"/>
      <c r="E846" s="600"/>
      <c r="F846" s="601"/>
    </row>
    <row r="847" spans="1:6" s="12" customFormat="1" ht="30">
      <c r="A847" s="435">
        <v>19</v>
      </c>
      <c r="B847" s="6" t="s">
        <v>2937</v>
      </c>
      <c r="C847" s="296" t="s">
        <v>76</v>
      </c>
      <c r="D847" s="296">
        <v>1</v>
      </c>
      <c r="E847" s="501"/>
      <c r="F847" s="345"/>
    </row>
    <row r="848" spans="1:6" s="12" customFormat="1">
      <c r="A848" s="435"/>
      <c r="B848" s="6"/>
      <c r="C848" s="296"/>
      <c r="D848" s="296"/>
      <c r="E848" s="501"/>
      <c r="F848" s="501"/>
    </row>
    <row r="849" spans="1:6" s="12" customFormat="1" ht="30">
      <c r="A849" s="435">
        <f>SUM(A847:A848) +1</f>
        <v>20</v>
      </c>
      <c r="B849" s="6" t="s">
        <v>2936</v>
      </c>
      <c r="C849" s="296" t="s">
        <v>76</v>
      </c>
      <c r="D849" s="296">
        <v>1</v>
      </c>
      <c r="E849" s="501"/>
      <c r="F849" s="345"/>
    </row>
    <row r="850" spans="1:6" s="12" customFormat="1">
      <c r="A850" s="435"/>
      <c r="B850" s="6"/>
      <c r="C850" s="296"/>
      <c r="D850" s="296"/>
      <c r="E850" s="501"/>
      <c r="F850" s="501"/>
    </row>
    <row r="851" spans="1:6" s="12" customFormat="1" ht="30">
      <c r="A851" s="435">
        <f>SUM(A849:A850) +1</f>
        <v>21</v>
      </c>
      <c r="B851" s="6" t="s">
        <v>2938</v>
      </c>
      <c r="C851" s="296" t="s">
        <v>76</v>
      </c>
      <c r="D851" s="296">
        <v>1</v>
      </c>
      <c r="E851" s="501"/>
      <c r="F851" s="345"/>
    </row>
    <row r="852" spans="1:6" s="12" customFormat="1">
      <c r="A852" s="465"/>
      <c r="B852" s="597"/>
      <c r="C852" s="296"/>
      <c r="D852" s="296"/>
      <c r="E852" s="296"/>
      <c r="F852" s="426"/>
    </row>
    <row r="853" spans="1:6" s="12" customFormat="1">
      <c r="A853" s="465" t="s">
        <v>3210</v>
      </c>
      <c r="B853" s="602" t="s">
        <v>278</v>
      </c>
      <c r="C853" s="510"/>
      <c r="D853" s="536"/>
      <c r="E853" s="510"/>
      <c r="F853" s="603"/>
    </row>
    <row r="854" spans="1:6">
      <c r="B854" s="514"/>
    </row>
    <row r="855" spans="1:6">
      <c r="B855" s="514"/>
    </row>
    <row r="856" spans="1:6">
      <c r="B856" s="514"/>
    </row>
    <row r="857" spans="1:6" ht="19.5" customHeight="1">
      <c r="B857" s="514"/>
    </row>
    <row r="858" spans="1:6" s="12" customFormat="1">
      <c r="A858" s="465"/>
      <c r="B858" s="424"/>
      <c r="C858" s="296"/>
      <c r="D858" s="296"/>
      <c r="E858" s="604"/>
      <c r="F858" s="298"/>
    </row>
    <row r="859" spans="1:6" s="567" customFormat="1">
      <c r="A859" s="18" t="s">
        <v>136</v>
      </c>
      <c r="B859" s="433" t="s">
        <v>3344</v>
      </c>
      <c r="C859" s="436"/>
      <c r="D859" s="436"/>
      <c r="E859" s="605"/>
      <c r="F859" s="605"/>
    </row>
    <row r="860" spans="1:6" s="12" customFormat="1">
      <c r="A860" s="9"/>
      <c r="B860" s="446"/>
      <c r="C860" s="296"/>
      <c r="D860" s="296"/>
      <c r="E860" s="426"/>
      <c r="F860" s="426"/>
    </row>
    <row r="861" spans="1:6" s="12" customFormat="1" ht="60">
      <c r="A861" s="465">
        <v>1</v>
      </c>
      <c r="B861" s="6" t="s">
        <v>3345</v>
      </c>
      <c r="C861" s="344"/>
      <c r="D861" s="344" t="s">
        <v>34</v>
      </c>
      <c r="E861" s="345"/>
      <c r="F861" s="345"/>
    </row>
    <row r="862" spans="1:6" s="12" customFormat="1">
      <c r="A862" s="465"/>
      <c r="B862" s="6" t="s">
        <v>3346</v>
      </c>
      <c r="C862" s="344" t="s">
        <v>280</v>
      </c>
      <c r="D862" s="296">
        <v>16</v>
      </c>
      <c r="E862" s="345"/>
      <c r="F862" s="345"/>
    </row>
    <row r="863" spans="1:6" s="12" customFormat="1">
      <c r="A863" s="465"/>
      <c r="B863" s="6"/>
      <c r="C863" s="344"/>
      <c r="D863" s="344"/>
      <c r="E863" s="345"/>
      <c r="F863" s="345"/>
    </row>
    <row r="864" spans="1:6" s="12" customFormat="1" ht="30">
      <c r="A864" s="435">
        <v>2</v>
      </c>
      <c r="B864" s="537" t="s">
        <v>3347</v>
      </c>
      <c r="C864" s="344" t="s">
        <v>2489</v>
      </c>
      <c r="D864" s="344">
        <v>20</v>
      </c>
      <c r="E864" s="345"/>
      <c r="F864" s="345"/>
    </row>
    <row r="865" spans="1:6" s="12" customFormat="1">
      <c r="A865" s="435"/>
      <c r="B865" s="537"/>
      <c r="C865" s="344"/>
      <c r="D865" s="344"/>
      <c r="E865" s="345"/>
      <c r="F865" s="345"/>
    </row>
    <row r="866" spans="1:6" s="12" customFormat="1" ht="30">
      <c r="A866" s="435">
        <v>3</v>
      </c>
      <c r="B866" s="537" t="s">
        <v>2906</v>
      </c>
      <c r="C866" s="344" t="s">
        <v>3394</v>
      </c>
      <c r="D866" s="344">
        <v>20</v>
      </c>
      <c r="E866" s="345"/>
      <c r="F866" s="345"/>
    </row>
    <row r="867" spans="1:6" s="12" customFormat="1">
      <c r="A867" s="435"/>
      <c r="B867" s="537"/>
      <c r="C867" s="344"/>
      <c r="D867" s="344"/>
      <c r="E867" s="345"/>
      <c r="F867" s="345"/>
    </row>
    <row r="868" spans="1:6" s="12" customFormat="1" ht="30">
      <c r="A868" s="435">
        <v>4</v>
      </c>
      <c r="B868" s="537" t="s">
        <v>2907</v>
      </c>
      <c r="C868" s="344" t="s">
        <v>2489</v>
      </c>
      <c r="D868" s="344">
        <v>9</v>
      </c>
      <c r="E868" s="345"/>
      <c r="F868" s="345"/>
    </row>
    <row r="869" spans="1:6" s="12" customFormat="1">
      <c r="A869" s="435"/>
      <c r="B869" s="537"/>
      <c r="C869" s="344"/>
      <c r="D869" s="344"/>
      <c r="E869" s="345"/>
      <c r="F869" s="345"/>
    </row>
    <row r="870" spans="1:6" s="12" customFormat="1" ht="45">
      <c r="A870" s="435">
        <v>5</v>
      </c>
      <c r="B870" s="537" t="s">
        <v>3348</v>
      </c>
      <c r="C870" s="344" t="s">
        <v>280</v>
      </c>
      <c r="D870" s="344">
        <v>16</v>
      </c>
      <c r="E870" s="345"/>
      <c r="F870" s="345"/>
    </row>
    <row r="871" spans="1:6" s="12" customFormat="1">
      <c r="A871" s="435"/>
      <c r="B871" s="537"/>
      <c r="C871" s="344"/>
      <c r="D871" s="344"/>
      <c r="E871" s="345"/>
      <c r="F871" s="345"/>
    </row>
    <row r="872" spans="1:6" s="12" customFormat="1" ht="45">
      <c r="A872" s="435">
        <v>6</v>
      </c>
      <c r="B872" s="537" t="s">
        <v>2909</v>
      </c>
      <c r="C872" s="344" t="s">
        <v>2489</v>
      </c>
      <c r="D872" s="344">
        <v>11</v>
      </c>
      <c r="E872" s="345"/>
      <c r="F872" s="345"/>
    </row>
    <row r="873" spans="1:6" s="12" customFormat="1">
      <c r="A873" s="435"/>
      <c r="B873" s="537"/>
      <c r="C873" s="344"/>
      <c r="D873" s="344"/>
      <c r="E873" s="345"/>
      <c r="F873" s="345"/>
    </row>
    <row r="874" spans="1:6" s="12" customFormat="1" ht="30">
      <c r="A874" s="435">
        <v>7</v>
      </c>
      <c r="B874" s="537" t="s">
        <v>2910</v>
      </c>
      <c r="C874" s="344" t="s">
        <v>2489</v>
      </c>
      <c r="D874" s="344">
        <v>9</v>
      </c>
      <c r="E874" s="345"/>
      <c r="F874" s="345"/>
    </row>
    <row r="875" spans="1:6" s="12" customFormat="1">
      <c r="A875" s="435"/>
      <c r="B875" s="537"/>
      <c r="C875" s="344"/>
      <c r="D875" s="344"/>
      <c r="E875" s="345"/>
      <c r="F875" s="345"/>
    </row>
    <row r="876" spans="1:6" s="12" customFormat="1" ht="30">
      <c r="A876" s="435">
        <v>8</v>
      </c>
      <c r="B876" s="537" t="s">
        <v>2911</v>
      </c>
      <c r="C876" s="344" t="s">
        <v>280</v>
      </c>
      <c r="D876" s="344">
        <v>16</v>
      </c>
      <c r="E876" s="345"/>
      <c r="F876" s="345"/>
    </row>
    <row r="877" spans="1:6" s="12" customFormat="1">
      <c r="A877" s="435"/>
      <c r="B877" s="537"/>
      <c r="C877" s="344"/>
      <c r="D877" s="344"/>
      <c r="E877" s="345"/>
      <c r="F877" s="345"/>
    </row>
    <row r="878" spans="1:6" s="12" customFormat="1" ht="30">
      <c r="A878" s="435">
        <v>9</v>
      </c>
      <c r="B878" s="537" t="s">
        <v>2912</v>
      </c>
      <c r="C878" s="344" t="s">
        <v>280</v>
      </c>
      <c r="D878" s="344">
        <v>16</v>
      </c>
      <c r="E878" s="345"/>
      <c r="F878" s="345"/>
    </row>
    <row r="879" spans="1:6" s="12" customFormat="1">
      <c r="A879" s="435"/>
      <c r="B879" s="537"/>
      <c r="C879" s="344"/>
      <c r="D879" s="344"/>
      <c r="E879" s="345"/>
      <c r="F879" s="345"/>
    </row>
    <row r="880" spans="1:6" s="12" customFormat="1">
      <c r="A880" s="465" t="s">
        <v>136</v>
      </c>
      <c r="B880" s="521" t="s">
        <v>278</v>
      </c>
      <c r="C880" s="510"/>
      <c r="D880" s="510" t="s">
        <v>34</v>
      </c>
      <c r="E880" s="522"/>
      <c r="F880" s="592"/>
    </row>
    <row r="881" spans="1:6" s="12" customFormat="1">
      <c r="A881" s="9"/>
      <c r="B881" s="446"/>
      <c r="C881" s="296"/>
      <c r="D881" s="296"/>
      <c r="E881" s="588"/>
      <c r="F881" s="588"/>
    </row>
    <row r="882" spans="1:6">
      <c r="B882" s="514"/>
    </row>
    <row r="883" spans="1:6">
      <c r="B883" s="514"/>
    </row>
    <row r="884" spans="1:6">
      <c r="B884" s="514"/>
    </row>
    <row r="885" spans="1:6" s="12" customFormat="1">
      <c r="A885" s="570"/>
      <c r="B885" s="299"/>
      <c r="C885" s="296"/>
      <c r="D885" s="296"/>
      <c r="E885" s="426"/>
      <c r="F885" s="426"/>
    </row>
    <row r="886" spans="1:6" s="567" customFormat="1">
      <c r="A886" s="593" t="s">
        <v>3349</v>
      </c>
      <c r="B886" s="425" t="s">
        <v>3350</v>
      </c>
      <c r="C886" s="436"/>
      <c r="D886" s="436"/>
      <c r="E886" s="569"/>
      <c r="F886" s="569"/>
    </row>
    <row r="887" spans="1:6" s="567" customFormat="1">
      <c r="A887" s="593"/>
      <c r="B887" s="425"/>
      <c r="C887" s="436"/>
      <c r="D887" s="436"/>
      <c r="E887" s="501"/>
      <c r="F887" s="501"/>
    </row>
    <row r="888" spans="1:6" s="12" customFormat="1">
      <c r="A888" s="435"/>
      <c r="B888" s="6"/>
      <c r="C888" s="344"/>
      <c r="D888" s="344" t="s">
        <v>34</v>
      </c>
      <c r="E888" s="345"/>
      <c r="F888" s="345"/>
    </row>
    <row r="889" spans="1:6" s="538" customFormat="1" ht="105">
      <c r="A889" s="539">
        <v>1</v>
      </c>
      <c r="B889" s="540" t="s">
        <v>3351</v>
      </c>
      <c r="C889" s="541" t="s">
        <v>76</v>
      </c>
      <c r="D889" s="541">
        <v>1</v>
      </c>
      <c r="E889" s="606"/>
      <c r="F889" s="606"/>
    </row>
    <row r="890" spans="1:6" s="12" customFormat="1">
      <c r="C890" s="296"/>
      <c r="D890" s="296"/>
      <c r="E890" s="542"/>
      <c r="F890" s="542"/>
    </row>
    <row r="891" spans="1:6" s="12" customFormat="1" ht="120">
      <c r="A891" s="435">
        <f>SUM(A887:A890) +1</f>
        <v>2</v>
      </c>
      <c r="B891" s="543" t="s">
        <v>3352</v>
      </c>
      <c r="C891" s="541" t="s">
        <v>76</v>
      </c>
      <c r="D891" s="541">
        <v>1</v>
      </c>
      <c r="E891" s="606"/>
      <c r="F891" s="606"/>
    </row>
    <row r="892" spans="1:6" s="12" customFormat="1">
      <c r="A892" s="465"/>
      <c r="B892" s="424"/>
      <c r="C892" s="296"/>
      <c r="D892" s="296"/>
      <c r="E892" s="297"/>
      <c r="F892" s="297"/>
    </row>
    <row r="893" spans="1:6" s="12" customFormat="1" ht="90">
      <c r="A893" s="435">
        <f>SUM(A890:A892) +1</f>
        <v>3</v>
      </c>
      <c r="B893" s="6" t="s">
        <v>2881</v>
      </c>
      <c r="C893" s="344" t="s">
        <v>76</v>
      </c>
      <c r="D893" s="344">
        <v>1</v>
      </c>
      <c r="E893" s="345"/>
      <c r="F893" s="345"/>
    </row>
    <row r="894" spans="1:6" s="12" customFormat="1">
      <c r="A894" s="435"/>
      <c r="B894" s="6"/>
      <c r="C894" s="296"/>
      <c r="D894" s="344" t="s">
        <v>34</v>
      </c>
      <c r="E894" s="297"/>
      <c r="F894" s="297"/>
    </row>
    <row r="895" spans="1:6" s="12" customFormat="1" ht="105">
      <c r="A895" s="435">
        <v>4</v>
      </c>
      <c r="B895" s="466" t="s">
        <v>3353</v>
      </c>
      <c r="C895" s="344" t="s">
        <v>76</v>
      </c>
      <c r="D895" s="344">
        <v>1</v>
      </c>
      <c r="E895" s="345"/>
      <c r="F895" s="345"/>
    </row>
    <row r="896" spans="1:6" s="12" customFormat="1">
      <c r="A896" s="435"/>
      <c r="B896" s="6"/>
      <c r="C896" s="344"/>
      <c r="D896" s="344" t="s">
        <v>34</v>
      </c>
      <c r="E896" s="345"/>
      <c r="F896" s="345"/>
    </row>
    <row r="897" spans="1:6" s="12" customFormat="1" ht="75">
      <c r="A897" s="435">
        <v>5</v>
      </c>
      <c r="B897" s="446" t="s">
        <v>3354</v>
      </c>
      <c r="C897" s="344" t="s">
        <v>76</v>
      </c>
      <c r="D897" s="344">
        <v>1</v>
      </c>
      <c r="E897" s="345"/>
      <c r="F897" s="345"/>
    </row>
    <row r="898" spans="1:6" s="12" customFormat="1">
      <c r="A898" s="570"/>
      <c r="D898" s="344" t="s">
        <v>34</v>
      </c>
      <c r="E898" s="601"/>
      <c r="F898" s="601"/>
    </row>
    <row r="899" spans="1:6" s="12" customFormat="1" ht="75">
      <c r="A899" s="435">
        <f>SUM(A896:A898) +1</f>
        <v>6</v>
      </c>
      <c r="B899" s="6" t="s">
        <v>3355</v>
      </c>
      <c r="C899" s="344" t="s">
        <v>76</v>
      </c>
      <c r="D899" s="344">
        <v>1</v>
      </c>
      <c r="E899" s="345"/>
      <c r="F899" s="345"/>
    </row>
    <row r="900" spans="1:6" s="12" customFormat="1">
      <c r="A900" s="435"/>
      <c r="B900" s="511"/>
      <c r="C900" s="344"/>
      <c r="D900" s="344" t="s">
        <v>34</v>
      </c>
      <c r="E900" s="345"/>
      <c r="F900" s="345"/>
    </row>
    <row r="901" spans="1:6" s="12" customFormat="1" ht="75">
      <c r="A901" s="435">
        <f>SUM(A898:A900) +1</f>
        <v>7</v>
      </c>
      <c r="B901" s="466" t="s">
        <v>3356</v>
      </c>
      <c r="C901" s="344" t="s">
        <v>76</v>
      </c>
      <c r="D901" s="344">
        <v>1</v>
      </c>
      <c r="E901" s="345"/>
      <c r="F901" s="345"/>
    </row>
    <row r="902" spans="1:6" s="12" customFormat="1">
      <c r="A902" s="435"/>
      <c r="B902" s="466"/>
      <c r="C902" s="344"/>
      <c r="D902" s="344"/>
      <c r="E902" s="345"/>
      <c r="F902" s="345"/>
    </row>
    <row r="903" spans="1:6" s="12" customFormat="1" ht="60">
      <c r="A903" s="435">
        <f>SUM(A900:A902) +1</f>
        <v>8</v>
      </c>
      <c r="B903" s="6" t="s">
        <v>3357</v>
      </c>
      <c r="C903" s="296" t="s">
        <v>76</v>
      </c>
      <c r="D903" s="296">
        <v>1</v>
      </c>
      <c r="E903" s="345"/>
      <c r="F903" s="345"/>
    </row>
    <row r="904" spans="1:6" s="12" customFormat="1">
      <c r="A904" s="435"/>
      <c r="B904" s="6"/>
      <c r="C904" s="296"/>
      <c r="D904" s="296"/>
      <c r="E904" s="345"/>
      <c r="F904" s="345"/>
    </row>
    <row r="905" spans="1:6" s="12" customFormat="1" ht="60">
      <c r="A905" s="435">
        <f>SUM(A902:A904) +1</f>
        <v>9</v>
      </c>
      <c r="B905" s="6" t="s">
        <v>3358</v>
      </c>
      <c r="C905" s="296" t="s">
        <v>76</v>
      </c>
      <c r="D905" s="296">
        <v>1</v>
      </c>
      <c r="E905" s="345"/>
      <c r="F905" s="345"/>
    </row>
    <row r="906" spans="1:6" s="12" customFormat="1">
      <c r="A906" s="435"/>
      <c r="B906" s="6"/>
      <c r="C906" s="296"/>
      <c r="D906" s="296"/>
      <c r="E906" s="345"/>
      <c r="F906" s="345"/>
    </row>
    <row r="907" spans="1:6" s="607" customFormat="1" ht="90">
      <c r="A907" s="435">
        <f>SUM(A904:A906) +1</f>
        <v>10</v>
      </c>
      <c r="B907" s="446" t="s">
        <v>3359</v>
      </c>
      <c r="C907" s="344"/>
      <c r="D907" s="344"/>
      <c r="E907" s="345"/>
      <c r="F907" s="345"/>
    </row>
    <row r="908" spans="1:6" s="607" customFormat="1">
      <c r="A908" s="435"/>
      <c r="B908" s="446" t="s">
        <v>3360</v>
      </c>
      <c r="C908" s="344" t="s">
        <v>76</v>
      </c>
      <c r="D908" s="344">
        <v>1</v>
      </c>
      <c r="E908" s="345"/>
      <c r="F908" s="345"/>
    </row>
    <row r="909" spans="1:6" s="607" customFormat="1">
      <c r="A909" s="435"/>
      <c r="B909" s="446"/>
      <c r="C909" s="344"/>
      <c r="D909" s="344"/>
      <c r="E909" s="518"/>
      <c r="F909" s="345"/>
    </row>
    <row r="910" spans="1:6" s="607" customFormat="1" ht="60">
      <c r="A910" s="435">
        <v>11</v>
      </c>
      <c r="B910" s="446" t="s">
        <v>3361</v>
      </c>
      <c r="C910" s="344" t="s">
        <v>76</v>
      </c>
      <c r="D910" s="344">
        <v>1</v>
      </c>
      <c r="E910" s="345"/>
      <c r="F910" s="345"/>
    </row>
    <row r="911" spans="1:6" s="607" customFormat="1">
      <c r="A911" s="435"/>
      <c r="B911" s="446"/>
      <c r="C911" s="344"/>
      <c r="D911" s="344"/>
      <c r="E911" s="345"/>
      <c r="F911" s="345"/>
    </row>
    <row r="912" spans="1:6" s="607" customFormat="1" ht="45">
      <c r="A912" s="435">
        <f>SUM(A910:A911) +1</f>
        <v>12</v>
      </c>
      <c r="B912" s="446" t="s">
        <v>3362</v>
      </c>
      <c r="C912" s="344" t="s">
        <v>76</v>
      </c>
      <c r="D912" s="344">
        <v>1</v>
      </c>
      <c r="E912" s="345"/>
      <c r="F912" s="345"/>
    </row>
    <row r="913" spans="1:6" s="607" customFormat="1">
      <c r="A913" s="435"/>
      <c r="B913" s="446"/>
      <c r="C913" s="344"/>
      <c r="D913" s="344"/>
      <c r="E913" s="345"/>
      <c r="F913" s="345"/>
    </row>
    <row r="914" spans="1:6" s="607" customFormat="1" ht="90">
      <c r="A914" s="435">
        <f>SUM(A911:A913) +1</f>
        <v>13</v>
      </c>
      <c r="B914" s="446" t="s">
        <v>3363</v>
      </c>
      <c r="C914" s="344"/>
      <c r="D914" s="344"/>
      <c r="E914" s="345"/>
      <c r="F914" s="345"/>
    </row>
    <row r="915" spans="1:6" s="607" customFormat="1">
      <c r="A915" s="435"/>
      <c r="B915" s="446" t="s">
        <v>3360</v>
      </c>
      <c r="C915" s="344" t="s">
        <v>76</v>
      </c>
      <c r="D915" s="344">
        <v>1</v>
      </c>
      <c r="E915" s="345"/>
      <c r="F915" s="345"/>
    </row>
    <row r="916" spans="1:6" s="12" customFormat="1"/>
    <row r="917" spans="1:6" s="607" customFormat="1" ht="210">
      <c r="A917" s="435">
        <f>SUM(A914:A916) +1</f>
        <v>14</v>
      </c>
      <c r="B917" s="446" t="s">
        <v>3364</v>
      </c>
      <c r="C917" s="344" t="s">
        <v>76</v>
      </c>
      <c r="D917" s="344">
        <v>1</v>
      </c>
      <c r="E917" s="345"/>
      <c r="F917" s="345"/>
    </row>
    <row r="918" spans="1:6" s="607" customFormat="1">
      <c r="A918" s="435"/>
      <c r="B918" s="544"/>
      <c r="C918" s="344"/>
      <c r="D918" s="344"/>
      <c r="E918" s="345"/>
      <c r="F918" s="345"/>
    </row>
    <row r="919" spans="1:6" s="12" customFormat="1">
      <c r="A919" s="9" t="s">
        <v>136</v>
      </c>
      <c r="B919" s="521" t="s">
        <v>278</v>
      </c>
      <c r="C919" s="510"/>
      <c r="D919" s="510" t="s">
        <v>34</v>
      </c>
      <c r="E919" s="522"/>
      <c r="F919" s="581"/>
    </row>
    <row r="920" spans="1:6">
      <c r="B920" s="514"/>
    </row>
    <row r="921" spans="1:6">
      <c r="B921" s="514"/>
    </row>
    <row r="922" spans="1:6">
      <c r="B922" s="514"/>
    </row>
    <row r="923" spans="1:6">
      <c r="B923" s="514"/>
    </row>
    <row r="924" spans="1:6" ht="30">
      <c r="B924" s="519" t="s">
        <v>3368</v>
      </c>
    </row>
    <row r="925" spans="1:6">
      <c r="B925" s="514"/>
    </row>
    <row r="926" spans="1:6" s="12" customFormat="1">
      <c r="A926" s="608" t="s">
        <v>806</v>
      </c>
      <c r="B926" s="609" t="str">
        <f>B25</f>
        <v>KUĆNI PRIKLJUČAK PLINA</v>
      </c>
      <c r="C926" s="344"/>
      <c r="D926" s="468"/>
      <c r="E926" s="344"/>
      <c r="F926" s="344"/>
    </row>
    <row r="927" spans="1:6" s="12" customFormat="1">
      <c r="A927" s="610" t="s">
        <v>2899</v>
      </c>
      <c r="B927" s="609" t="str">
        <f>B28</f>
        <v>KUĆNI PRIKLJUČAK - građevinski radovi</v>
      </c>
      <c r="C927" s="344"/>
      <c r="D927" s="468"/>
      <c r="E927" s="344"/>
      <c r="F927" s="518"/>
    </row>
    <row r="928" spans="1:6" s="12" customFormat="1">
      <c r="A928" s="610" t="s">
        <v>2913</v>
      </c>
      <c r="B928" s="609" t="str">
        <f>B57</f>
        <v>KUĆNI PRIKLJUČAK - strojarski radovi</v>
      </c>
      <c r="C928" s="344"/>
      <c r="D928" s="468"/>
      <c r="E928" s="344"/>
      <c r="F928" s="518"/>
    </row>
    <row r="929" spans="1:6" s="12" customFormat="1">
      <c r="A929" s="608" t="s">
        <v>807</v>
      </c>
      <c r="B929" s="609" t="str">
        <f>B102</f>
        <v>NEMJERENI DIO PLINSKE INSTALACIJE</v>
      </c>
      <c r="C929" s="344"/>
      <c r="D929" s="468"/>
      <c r="E929" s="344"/>
      <c r="F929" s="518"/>
    </row>
    <row r="930" spans="1:6" s="12" customFormat="1">
      <c r="A930" s="608" t="s">
        <v>2797</v>
      </c>
      <c r="B930" s="609" t="str">
        <f>B146</f>
        <v>MJERENI DIO PLINSKE INSTALACIJE</v>
      </c>
      <c r="C930" s="344"/>
      <c r="D930" s="468"/>
      <c r="E930" s="344"/>
      <c r="F930" s="518"/>
    </row>
    <row r="931" spans="1:6" s="12" customFormat="1">
      <c r="A931" s="608" t="s">
        <v>2849</v>
      </c>
      <c r="B931" s="609" t="str">
        <f>B178</f>
        <v>Oprema za grijanje i PTV</v>
      </c>
      <c r="C931" s="344"/>
      <c r="D931" s="468"/>
      <c r="E931" s="344"/>
      <c r="F931" s="518"/>
    </row>
    <row r="932" spans="1:6" s="12" customFormat="1">
      <c r="A932" s="608" t="s">
        <v>2880</v>
      </c>
      <c r="B932" s="609" t="str">
        <f>B302</f>
        <v>Instalacija grijanja</v>
      </c>
      <c r="C932" s="344"/>
      <c r="D932" s="468"/>
      <c r="E932" s="344"/>
      <c r="F932" s="611"/>
    </row>
    <row r="933" spans="1:6" s="12" customFormat="1">
      <c r="A933" s="608" t="s">
        <v>2892</v>
      </c>
      <c r="B933" s="609" t="str">
        <f>B377</f>
        <v>Instalacija hlađenja</v>
      </c>
      <c r="C933" s="344"/>
      <c r="D933" s="468"/>
      <c r="E933" s="344"/>
      <c r="F933" s="611"/>
    </row>
    <row r="934" spans="1:6" s="12" customFormat="1">
      <c r="A934" s="608" t="s">
        <v>3365</v>
      </c>
      <c r="B934" s="609" t="str">
        <f>B573</f>
        <v>Instalacija hlađenja - split - el. Sobe</v>
      </c>
      <c r="C934" s="344"/>
      <c r="D934" s="468"/>
      <c r="E934" s="344"/>
      <c r="F934" s="518"/>
    </row>
    <row r="935" spans="1:6" s="12" customFormat="1">
      <c r="A935" s="608" t="s">
        <v>3210</v>
      </c>
      <c r="B935" s="609" t="str">
        <f>B636</f>
        <v>Instalacija ventilacije</v>
      </c>
      <c r="C935" s="344"/>
      <c r="D935" s="468"/>
      <c r="E935" s="344"/>
      <c r="F935" s="518"/>
    </row>
    <row r="936" spans="1:6" s="12" customFormat="1">
      <c r="A936" s="608" t="s">
        <v>136</v>
      </c>
      <c r="B936" s="609" t="str">
        <f>B859</f>
        <v>Podzemni vod</v>
      </c>
      <c r="C936" s="344"/>
      <c r="D936" s="468"/>
      <c r="E936" s="344"/>
      <c r="F936" s="518"/>
    </row>
    <row r="937" spans="1:6" s="12" customFormat="1">
      <c r="A937" s="608" t="s">
        <v>3349</v>
      </c>
      <c r="B937" s="609" t="str">
        <f>B886</f>
        <v>Ostali radovi</v>
      </c>
      <c r="C937" s="344"/>
      <c r="D937" s="468"/>
      <c r="E937" s="344"/>
      <c r="F937" s="518"/>
    </row>
    <row r="938" spans="1:6" ht="19.5" customHeight="1">
      <c r="B938" s="514"/>
    </row>
    <row r="939" spans="1:6">
      <c r="B939" s="514"/>
    </row>
    <row r="940" spans="1:6">
      <c r="A940" s="498" t="s">
        <v>730</v>
      </c>
      <c r="B940" s="497" t="s">
        <v>3370</v>
      </c>
      <c r="F940" s="612"/>
    </row>
    <row r="941" spans="1:6">
      <c r="B941" s="514"/>
    </row>
  </sheetData>
  <conditionalFormatting sqref="E375:F64479">
    <cfRule type="cellIs" dxfId="3" priority="63" stopIfTrue="1" operator="equal">
      <formula>0</formula>
    </cfRule>
  </conditionalFormatting>
  <conditionalFormatting sqref="F571:F941">
    <cfRule type="cellIs" dxfId="2" priority="60" operator="equal">
      <formula>0</formula>
    </cfRule>
    <cfRule type="cellIs" dxfId="1" priority="61" stopIfTrue="1" operator="equal">
      <formula>0</formula>
    </cfRule>
  </conditionalFormatting>
  <pageMargins left="0.70866141732283472" right="0.19685039370078741" top="0.907258064516129" bottom="0.94488188976377963" header="0.31496062992125984" footer="0.23622047244094491"/>
  <pageSetup paperSize="9" scale="71" orientation="portrait" r:id="rId1"/>
  <headerFooter alignWithMargins="0">
    <oddHeader xml:space="preserve">&amp;L&amp;7ZAGREBAČKI HOLDING d.o.o., 
Ulica grada Vukovara 41, Zagreb
&amp;C&amp;7CJELOVITA OBNOVA ZGRADE JAVNE NAMJENE - 
''ŠKOLE'' HOSTELA GRAD MLADIH, GRANEŠINA
Aleja hrvatske mladeži 29, Zagreb
k.č. 7098, k.o. Granešina Nova&amp;R&amp;7ZOP: 12/24                </oddHeader>
    <oddFooter>&amp;LInvestitor: POŽEŠKO-SLAVONSKA ŽUPANIJAGlavni projektant: Kristina Vujica, dipl.ing.arh. Projektant: Denis Peruzović, dipl.ing.stroj.&amp;R ZOP: 03/22-F1prosinac 2023. god. str. &amp;P</oddFooter>
  </headerFooter>
  <ignoredErrors>
    <ignoredError sqref="A295" formulaRange="1"/>
  </ignoredErrors>
  <drawing r:id="rId2"/>
</worksheet>
</file>

<file path=xl/worksheets/sheet29.xml><?xml version="1.0" encoding="utf-8"?>
<worksheet xmlns="http://schemas.openxmlformats.org/spreadsheetml/2006/main" xmlns:r="http://schemas.openxmlformats.org/officeDocument/2006/relationships">
  <sheetPr>
    <tabColor rgb="FF00B050"/>
  </sheetPr>
  <dimension ref="A1:IU858"/>
  <sheetViews>
    <sheetView showZeros="0" view="pageBreakPreview" topLeftCell="A506" zoomScale="85" zoomScaleNormal="85" zoomScaleSheetLayoutView="85" workbookViewId="0">
      <selection activeCell="E13" sqref="E13"/>
    </sheetView>
  </sheetViews>
  <sheetFormatPr defaultColWidth="9.140625" defaultRowHeight="15"/>
  <cols>
    <col min="1" max="1" width="8.7109375" style="479" customWidth="1"/>
    <col min="2" max="2" width="45.140625" style="478" customWidth="1"/>
    <col min="3" max="3" width="8.5703125" style="474" customWidth="1"/>
    <col min="4" max="4" width="10.7109375" style="475" customWidth="1"/>
    <col min="5" max="5" width="13.85546875" style="476" customWidth="1"/>
    <col min="6" max="6" width="16.5703125" style="476" customWidth="1"/>
    <col min="7" max="16384" width="9.140625" style="412"/>
  </cols>
  <sheetData>
    <row r="1" spans="1:6">
      <c r="A1" s="407" t="s">
        <v>260</v>
      </c>
      <c r="B1" s="407" t="s">
        <v>261</v>
      </c>
      <c r="C1" s="408" t="s">
        <v>262</v>
      </c>
      <c r="D1" s="409" t="s">
        <v>263</v>
      </c>
      <c r="E1" s="410" t="s">
        <v>264</v>
      </c>
      <c r="F1" s="411" t="s">
        <v>265</v>
      </c>
    </row>
    <row r="2" spans="1:6">
      <c r="A2" s="413"/>
      <c r="B2" s="414"/>
      <c r="C2" s="415"/>
      <c r="D2" s="416"/>
      <c r="E2" s="417"/>
      <c r="F2" s="418"/>
    </row>
    <row r="3" spans="1:6">
      <c r="A3" s="415"/>
      <c r="B3" s="415"/>
      <c r="C3" s="415"/>
      <c r="D3" s="415"/>
      <c r="E3" s="415"/>
      <c r="F3" s="419"/>
    </row>
    <row r="4" spans="1:6" ht="15" customHeight="1">
      <c r="A4" s="420" t="s">
        <v>801</v>
      </c>
      <c r="B4" s="421" t="s">
        <v>805</v>
      </c>
      <c r="C4" s="422"/>
      <c r="D4" s="422"/>
      <c r="E4" s="422"/>
      <c r="F4" s="422"/>
    </row>
    <row r="5" spans="1:6">
      <c r="A5" s="413"/>
      <c r="B5" s="413"/>
      <c r="C5" s="413"/>
      <c r="D5" s="413"/>
      <c r="E5" s="413"/>
      <c r="F5" s="423"/>
    </row>
    <row r="6" spans="1:6">
      <c r="A6" s="413"/>
      <c r="B6" s="413"/>
      <c r="C6" s="413"/>
      <c r="D6" s="413"/>
      <c r="E6" s="413"/>
      <c r="F6" s="423"/>
    </row>
    <row r="7" spans="1:6" s="12" customFormat="1">
      <c r="A7" s="424"/>
      <c r="B7" s="425" t="s">
        <v>2639</v>
      </c>
      <c r="C7" s="426"/>
      <c r="D7" s="426"/>
      <c r="E7" s="427"/>
      <c r="F7" s="427"/>
    </row>
    <row r="8" spans="1:6" s="12" customFormat="1" ht="120">
      <c r="A8" s="424"/>
      <c r="B8" s="342" t="s">
        <v>2640</v>
      </c>
      <c r="C8" s="426"/>
      <c r="D8" s="426"/>
      <c r="E8" s="427"/>
      <c r="F8" s="427"/>
    </row>
    <row r="9" spans="1:6" s="12" customFormat="1" ht="45">
      <c r="A9" s="428"/>
      <c r="B9" s="342" t="s">
        <v>2654</v>
      </c>
      <c r="C9" s="429"/>
      <c r="D9" s="429"/>
      <c r="E9" s="430"/>
      <c r="F9" s="430"/>
    </row>
    <row r="10" spans="1:6" s="12" customFormat="1" ht="45">
      <c r="A10" s="428"/>
      <c r="B10" s="342" t="s">
        <v>2655</v>
      </c>
      <c r="C10" s="429"/>
      <c r="D10" s="429"/>
      <c r="E10" s="430"/>
      <c r="F10" s="430"/>
    </row>
    <row r="11" spans="1:6" s="12" customFormat="1" ht="45">
      <c r="A11" s="428"/>
      <c r="B11" s="342" t="s">
        <v>2642</v>
      </c>
      <c r="C11" s="429"/>
      <c r="D11" s="429"/>
      <c r="E11" s="430"/>
      <c r="F11" s="430"/>
    </row>
    <row r="12" spans="1:6" s="12" customFormat="1" ht="45">
      <c r="A12" s="428"/>
      <c r="B12" s="342" t="s">
        <v>2643</v>
      </c>
      <c r="C12" s="429"/>
      <c r="D12" s="429"/>
      <c r="E12" s="430"/>
      <c r="F12" s="430"/>
    </row>
    <row r="13" spans="1:6" s="12" customFormat="1" ht="105">
      <c r="A13" s="428"/>
      <c r="B13" s="21" t="s">
        <v>2644</v>
      </c>
      <c r="C13" s="429"/>
      <c r="D13" s="429"/>
      <c r="E13" s="430"/>
      <c r="F13" s="430"/>
    </row>
    <row r="14" spans="1:6" s="12" customFormat="1" ht="120">
      <c r="A14" s="428"/>
      <c r="B14" s="21" t="s">
        <v>2645</v>
      </c>
      <c r="C14" s="429"/>
      <c r="D14" s="429"/>
      <c r="E14" s="430"/>
      <c r="F14" s="430"/>
    </row>
    <row r="15" spans="1:6" s="12" customFormat="1" ht="60">
      <c r="A15" s="428"/>
      <c r="B15" s="342" t="s">
        <v>2646</v>
      </c>
      <c r="C15" s="429"/>
      <c r="D15" s="429"/>
      <c r="E15" s="430"/>
      <c r="F15" s="430"/>
    </row>
    <row r="16" spans="1:6">
      <c r="A16" s="431"/>
      <c r="B16" s="431"/>
      <c r="C16" s="431"/>
      <c r="D16" s="431"/>
      <c r="E16" s="431"/>
      <c r="F16" s="431"/>
    </row>
    <row r="17" spans="1:6">
      <c r="A17" s="431"/>
      <c r="B17" s="431"/>
      <c r="C17" s="431"/>
      <c r="D17" s="431"/>
      <c r="E17" s="431"/>
      <c r="F17" s="431"/>
    </row>
    <row r="18" spans="1:6" s="12" customFormat="1">
      <c r="A18" s="432" t="s">
        <v>806</v>
      </c>
      <c r="B18" s="433" t="s">
        <v>2656</v>
      </c>
      <c r="C18" s="296"/>
      <c r="D18" s="296"/>
      <c r="E18" s="434"/>
      <c r="F18" s="434"/>
    </row>
    <row r="19" spans="1:6" s="12" customFormat="1">
      <c r="A19" s="232"/>
      <c r="B19" s="233"/>
      <c r="C19" s="296"/>
      <c r="D19" s="296"/>
      <c r="E19" s="434"/>
      <c r="F19" s="434"/>
    </row>
    <row r="20" spans="1:6" s="12" customFormat="1">
      <c r="A20" s="435"/>
      <c r="B20" s="613" t="s">
        <v>266</v>
      </c>
      <c r="C20" s="459"/>
      <c r="D20" s="296"/>
      <c r="E20" s="434"/>
      <c r="F20" s="434"/>
    </row>
    <row r="21" spans="1:6" s="12" customFormat="1" ht="60">
      <c r="A21" s="435"/>
      <c r="B21" s="300" t="s">
        <v>2657</v>
      </c>
      <c r="C21" s="296"/>
      <c r="D21" s="296"/>
      <c r="E21" s="434"/>
      <c r="F21" s="434"/>
    </row>
    <row r="22" spans="1:6" s="12" customFormat="1" ht="30">
      <c r="A22" s="435"/>
      <c r="B22" s="614" t="s">
        <v>2658</v>
      </c>
      <c r="C22" s="459"/>
      <c r="D22" s="296"/>
      <c r="E22" s="434"/>
      <c r="F22" s="434"/>
    </row>
    <row r="23" spans="1:6" s="12" customFormat="1" ht="45">
      <c r="A23" s="435"/>
      <c r="B23" s="300" t="s">
        <v>2659</v>
      </c>
      <c r="C23" s="459"/>
      <c r="D23" s="296"/>
      <c r="E23" s="434"/>
      <c r="F23" s="345"/>
    </row>
    <row r="24" spans="1:6" s="12" customFormat="1">
      <c r="A24" s="435"/>
      <c r="B24" s="6"/>
      <c r="C24" s="459"/>
      <c r="D24" s="296"/>
      <c r="E24" s="434"/>
      <c r="F24" s="434"/>
    </row>
    <row r="25" spans="1:6" s="12" customFormat="1" ht="30">
      <c r="A25" s="615"/>
      <c r="B25" s="616" t="s">
        <v>2660</v>
      </c>
      <c r="C25" s="296"/>
      <c r="D25" s="296"/>
      <c r="E25" s="434"/>
      <c r="F25" s="434"/>
    </row>
    <row r="26" spans="1:6" s="12" customFormat="1" ht="30">
      <c r="A26" s="435"/>
      <c r="B26" s="6" t="s">
        <v>2661</v>
      </c>
      <c r="C26" s="459"/>
      <c r="D26" s="296"/>
      <c r="F26" s="434"/>
    </row>
    <row r="27" spans="1:6" s="12" customFormat="1" ht="30">
      <c r="A27" s="435"/>
      <c r="B27" s="300" t="s">
        <v>2662</v>
      </c>
      <c r="C27" s="459"/>
      <c r="D27" s="296"/>
      <c r="E27" s="434"/>
      <c r="F27" s="434"/>
    </row>
    <row r="28" spans="1:6" s="12" customFormat="1">
      <c r="A28" s="615"/>
      <c r="B28" s="616"/>
      <c r="C28" s="459"/>
      <c r="D28" s="296"/>
      <c r="E28" s="434"/>
      <c r="F28" s="434"/>
    </row>
    <row r="29" spans="1:6" s="12" customFormat="1" ht="32.25" customHeight="1">
      <c r="A29" s="617">
        <v>1</v>
      </c>
      <c r="B29" s="618" t="s">
        <v>2663</v>
      </c>
      <c r="C29" s="296"/>
      <c r="D29" s="296"/>
      <c r="E29" s="506"/>
      <c r="F29" s="506"/>
    </row>
    <row r="30" spans="1:6" s="12" customFormat="1">
      <c r="A30" s="465"/>
      <c r="B30" s="619" t="s">
        <v>2664</v>
      </c>
      <c r="C30" s="459"/>
      <c r="D30" s="296"/>
      <c r="E30" s="506"/>
      <c r="F30" s="506"/>
    </row>
    <row r="31" spans="1:6" s="12" customFormat="1" ht="19.5" customHeight="1">
      <c r="A31" s="465"/>
      <c r="B31" s="233" t="s">
        <v>2665</v>
      </c>
      <c r="C31" s="296"/>
      <c r="D31" s="296"/>
      <c r="E31" s="506"/>
      <c r="F31" s="506"/>
    </row>
    <row r="32" spans="1:6" s="12" customFormat="1" ht="19.5" customHeight="1">
      <c r="A32" s="465"/>
      <c r="B32" s="233" t="s">
        <v>2666</v>
      </c>
      <c r="C32" s="296"/>
      <c r="D32" s="296"/>
      <c r="E32" s="506"/>
      <c r="F32" s="506"/>
    </row>
    <row r="33" spans="1:7" s="12" customFormat="1">
      <c r="A33" s="465"/>
      <c r="B33" s="619" t="s">
        <v>2667</v>
      </c>
      <c r="C33" s="459" t="s">
        <v>76</v>
      </c>
      <c r="D33" s="296">
        <v>1</v>
      </c>
      <c r="E33" s="506"/>
      <c r="F33" s="506"/>
    </row>
    <row r="34" spans="1:7" s="12" customFormat="1">
      <c r="A34" s="465"/>
      <c r="B34" s="619"/>
      <c r="C34" s="459"/>
      <c r="D34" s="296"/>
      <c r="E34" s="506"/>
      <c r="F34" s="620"/>
    </row>
    <row r="35" spans="1:7" s="12" customFormat="1" ht="45">
      <c r="A35" s="621">
        <v>2</v>
      </c>
      <c r="B35" s="440" t="s">
        <v>2668</v>
      </c>
      <c r="C35" s="459"/>
      <c r="D35" s="296"/>
      <c r="E35" s="506"/>
      <c r="F35" s="506"/>
    </row>
    <row r="36" spans="1:7" s="12" customFormat="1">
      <c r="A36" s="621"/>
      <c r="B36" s="440" t="s">
        <v>2669</v>
      </c>
      <c r="C36" s="459" t="s">
        <v>280</v>
      </c>
      <c r="D36" s="296">
        <v>136</v>
      </c>
      <c r="E36" s="506"/>
      <c r="F36" s="506"/>
    </row>
    <row r="37" spans="1:7" s="12" customFormat="1">
      <c r="A37" s="465"/>
      <c r="B37" s="619"/>
      <c r="C37" s="459"/>
      <c r="D37" s="296"/>
      <c r="E37" s="506"/>
      <c r="F37" s="506"/>
      <c r="G37" s="345"/>
    </row>
    <row r="38" spans="1:7" s="12" customFormat="1" ht="45">
      <c r="A38" s="621">
        <v>3</v>
      </c>
      <c r="B38" s="440" t="s">
        <v>2670</v>
      </c>
      <c r="C38" s="459"/>
      <c r="D38" s="296"/>
      <c r="E38" s="506"/>
      <c r="F38" s="506"/>
    </row>
    <row r="39" spans="1:7" s="12" customFormat="1">
      <c r="A39" s="621"/>
      <c r="B39" s="440" t="s">
        <v>2671</v>
      </c>
      <c r="C39" s="459" t="s">
        <v>280</v>
      </c>
      <c r="D39" s="296">
        <v>106</v>
      </c>
      <c r="E39" s="506"/>
      <c r="F39" s="506"/>
    </row>
    <row r="40" spans="1:7" s="12" customFormat="1">
      <c r="A40" s="465"/>
      <c r="B40" s="619"/>
      <c r="C40" s="459"/>
      <c r="D40" s="296"/>
      <c r="E40" s="506"/>
      <c r="F40" s="506"/>
      <c r="G40" s="345"/>
    </row>
    <row r="41" spans="1:7" s="12" customFormat="1" ht="45">
      <c r="A41" s="621">
        <v>4</v>
      </c>
      <c r="B41" s="440" t="s">
        <v>2672</v>
      </c>
      <c r="C41" s="459"/>
      <c r="D41" s="296"/>
      <c r="E41" s="506"/>
      <c r="F41" s="506"/>
    </row>
    <row r="42" spans="1:7" s="12" customFormat="1">
      <c r="A42" s="621"/>
      <c r="B42" s="440" t="s">
        <v>2673</v>
      </c>
      <c r="C42" s="459" t="s">
        <v>280</v>
      </c>
      <c r="D42" s="296">
        <v>65</v>
      </c>
      <c r="E42" s="506"/>
      <c r="F42" s="506"/>
    </row>
    <row r="43" spans="1:7" s="12" customFormat="1">
      <c r="A43" s="465"/>
      <c r="B43" s="619"/>
      <c r="C43" s="459"/>
      <c r="D43" s="296"/>
      <c r="E43" s="506"/>
      <c r="F43" s="506"/>
      <c r="G43" s="345"/>
    </row>
    <row r="44" spans="1:7" s="12" customFormat="1" ht="45">
      <c r="A44" s="621">
        <v>5</v>
      </c>
      <c r="B44" s="440" t="s">
        <v>2674</v>
      </c>
      <c r="C44" s="459" t="s">
        <v>280</v>
      </c>
      <c r="D44" s="296">
        <v>109</v>
      </c>
      <c r="E44" s="506"/>
      <c r="F44" s="506"/>
    </row>
    <row r="45" spans="1:7" s="12" customFormat="1">
      <c r="A45" s="465"/>
      <c r="B45" s="619"/>
      <c r="C45" s="459"/>
      <c r="D45" s="296"/>
      <c r="E45" s="506"/>
      <c r="F45" s="506"/>
      <c r="G45" s="345"/>
    </row>
    <row r="46" spans="1:7" s="12" customFormat="1" ht="45">
      <c r="A46" s="621">
        <v>6</v>
      </c>
      <c r="B46" s="440" t="s">
        <v>2675</v>
      </c>
      <c r="C46" s="459" t="s">
        <v>18</v>
      </c>
      <c r="D46" s="296">
        <v>6</v>
      </c>
      <c r="E46" s="506"/>
      <c r="F46" s="506"/>
    </row>
    <row r="47" spans="1:7" s="12" customFormat="1">
      <c r="A47" s="465"/>
      <c r="B47" s="619"/>
      <c r="C47" s="459"/>
      <c r="D47" s="296"/>
      <c r="E47" s="506"/>
      <c r="F47" s="506"/>
      <c r="G47" s="345"/>
    </row>
    <row r="48" spans="1:7" s="12" customFormat="1" ht="30">
      <c r="A48" s="615">
        <v>7</v>
      </c>
      <c r="B48" s="616" t="s">
        <v>2676</v>
      </c>
      <c r="C48" s="459" t="s">
        <v>21</v>
      </c>
      <c r="D48" s="296">
        <v>36</v>
      </c>
      <c r="E48" s="506"/>
      <c r="F48" s="506"/>
    </row>
    <row r="49" spans="1:6" s="12" customFormat="1">
      <c r="A49" s="465"/>
      <c r="B49" s="619"/>
      <c r="C49" s="459"/>
      <c r="D49" s="296"/>
      <c r="E49" s="434"/>
      <c r="F49" s="345"/>
    </row>
    <row r="50" spans="1:6" s="12" customFormat="1">
      <c r="A50" s="432" t="s">
        <v>806</v>
      </c>
      <c r="B50" s="433" t="s">
        <v>278</v>
      </c>
      <c r="C50" s="436"/>
      <c r="D50" s="436" t="s">
        <v>34</v>
      </c>
      <c r="E50" s="437"/>
      <c r="F50" s="434"/>
    </row>
    <row r="51" spans="1:6" s="12" customFormat="1">
      <c r="A51" s="432"/>
      <c r="B51" s="433"/>
      <c r="C51" s="436"/>
      <c r="D51" s="436"/>
      <c r="E51" s="437"/>
      <c r="F51" s="434"/>
    </row>
    <row r="52" spans="1:6" s="12" customFormat="1">
      <c r="A52" s="432"/>
      <c r="B52" s="433"/>
      <c r="C52" s="436"/>
      <c r="D52" s="436"/>
      <c r="E52" s="437"/>
      <c r="F52" s="434"/>
    </row>
    <row r="53" spans="1:6" s="12" customFormat="1">
      <c r="A53" s="432"/>
      <c r="B53" s="433"/>
      <c r="C53" s="436"/>
      <c r="D53" s="436"/>
      <c r="E53" s="437"/>
      <c r="F53" s="434"/>
    </row>
    <row r="54" spans="1:6" s="12" customFormat="1">
      <c r="A54" s="432" t="s">
        <v>807</v>
      </c>
      <c r="B54" s="433" t="s">
        <v>2677</v>
      </c>
      <c r="C54" s="296"/>
      <c r="D54" s="296"/>
      <c r="E54" s="434"/>
      <c r="F54" s="434"/>
    </row>
    <row r="55" spans="1:6" s="12" customFormat="1">
      <c r="A55" s="232"/>
      <c r="B55" s="233"/>
      <c r="C55" s="296"/>
      <c r="D55" s="296"/>
      <c r="E55" s="434"/>
      <c r="F55" s="434"/>
    </row>
    <row r="56" spans="1:6" s="12" customFormat="1">
      <c r="A56" s="432" t="s">
        <v>2757</v>
      </c>
      <c r="B56" s="433" t="s">
        <v>2678</v>
      </c>
      <c r="C56" s="436"/>
      <c r="D56" s="436"/>
      <c r="E56" s="437"/>
      <c r="F56" s="434"/>
    </row>
    <row r="57" spans="1:6" s="12" customFormat="1">
      <c r="A57" s="232"/>
      <c r="B57" s="233"/>
      <c r="C57" s="296"/>
      <c r="D57" s="296"/>
      <c r="E57" s="434"/>
      <c r="F57" s="434"/>
    </row>
    <row r="58" spans="1:6" s="12" customFormat="1" ht="30">
      <c r="A58" s="622">
        <v>1</v>
      </c>
      <c r="B58" s="438" t="s">
        <v>2679</v>
      </c>
      <c r="C58" s="443" t="s">
        <v>280</v>
      </c>
      <c r="D58" s="296">
        <v>30</v>
      </c>
      <c r="E58" s="434"/>
      <c r="F58" s="434"/>
    </row>
    <row r="59" spans="1:6" s="12" customFormat="1">
      <c r="A59" s="622"/>
      <c r="B59" s="438"/>
      <c r="C59" s="443"/>
      <c r="D59" s="296"/>
      <c r="E59" s="434"/>
      <c r="F59" s="434"/>
    </row>
    <row r="60" spans="1:6" s="12" customFormat="1" ht="112.9" customHeight="1">
      <c r="A60" s="465">
        <v>2</v>
      </c>
      <c r="B60" s="439" t="s">
        <v>2680</v>
      </c>
      <c r="C60" s="296"/>
      <c r="D60" s="296"/>
      <c r="E60" s="434"/>
      <c r="F60" s="434"/>
    </row>
    <row r="61" spans="1:6" s="12" customFormat="1" ht="17.25">
      <c r="A61" s="465"/>
      <c r="B61" s="623" t="s">
        <v>2681</v>
      </c>
      <c r="C61" s="443" t="s">
        <v>2489</v>
      </c>
      <c r="D61" s="296">
        <v>31</v>
      </c>
      <c r="E61" s="434"/>
      <c r="F61" s="434"/>
    </row>
    <row r="62" spans="1:6" s="12" customFormat="1">
      <c r="A62" s="465"/>
      <c r="B62" s="623"/>
      <c r="C62" s="443"/>
      <c r="D62" s="296"/>
      <c r="E62" s="434"/>
      <c r="F62" s="345"/>
    </row>
    <row r="63" spans="1:6" s="12" customFormat="1" ht="95.25" customHeight="1">
      <c r="A63" s="621">
        <v>3</v>
      </c>
      <c r="B63" s="440" t="s">
        <v>2682</v>
      </c>
      <c r="C63" s="459" t="s">
        <v>2489</v>
      </c>
      <c r="D63" s="296">
        <v>6</v>
      </c>
      <c r="E63" s="434"/>
      <c r="F63" s="434"/>
    </row>
    <row r="64" spans="1:6" s="12" customFormat="1">
      <c r="A64" s="465"/>
      <c r="B64" s="619"/>
      <c r="C64" s="459"/>
      <c r="D64" s="296"/>
      <c r="E64" s="434"/>
      <c r="F64" s="434"/>
    </row>
    <row r="65" spans="1:9" s="12" customFormat="1" ht="17.25">
      <c r="A65" s="624">
        <v>4</v>
      </c>
      <c r="B65" s="625" t="s">
        <v>2683</v>
      </c>
      <c r="C65" s="626" t="s">
        <v>3394</v>
      </c>
      <c r="D65" s="296">
        <v>24</v>
      </c>
      <c r="E65" s="434"/>
      <c r="F65" s="434"/>
    </row>
    <row r="66" spans="1:9" s="12" customFormat="1">
      <c r="A66" s="465"/>
      <c r="B66" s="623"/>
      <c r="C66" s="443"/>
      <c r="D66" s="296"/>
      <c r="E66" s="434"/>
      <c r="F66" s="345"/>
    </row>
    <row r="67" spans="1:9" s="12" customFormat="1" ht="45">
      <c r="A67" s="622">
        <v>5</v>
      </c>
      <c r="B67" s="438" t="s">
        <v>2684</v>
      </c>
      <c r="C67" s="443" t="s">
        <v>2489</v>
      </c>
      <c r="D67" s="296">
        <v>3</v>
      </c>
      <c r="E67" s="434"/>
      <c r="F67" s="434"/>
    </row>
    <row r="68" spans="1:9" s="12" customFormat="1">
      <c r="A68" s="465"/>
      <c r="B68" s="623"/>
      <c r="C68" s="443"/>
      <c r="D68" s="296"/>
      <c r="E68" s="434"/>
      <c r="F68" s="345"/>
    </row>
    <row r="69" spans="1:9" s="12" customFormat="1" ht="45">
      <c r="A69" s="627">
        <v>6</v>
      </c>
      <c r="B69" s="628" t="s">
        <v>2685</v>
      </c>
      <c r="C69" s="443" t="s">
        <v>2489</v>
      </c>
      <c r="D69" s="296">
        <v>6</v>
      </c>
      <c r="E69" s="434"/>
      <c r="F69" s="434"/>
    </row>
    <row r="70" spans="1:9" s="12" customFormat="1">
      <c r="A70" s="627"/>
      <c r="B70" s="628"/>
      <c r="C70" s="443"/>
      <c r="D70" s="296"/>
      <c r="E70" s="434"/>
      <c r="F70" s="345"/>
    </row>
    <row r="71" spans="1:9" s="12" customFormat="1" ht="45">
      <c r="A71" s="629">
        <v>7</v>
      </c>
      <c r="B71" s="630" t="s">
        <v>2686</v>
      </c>
      <c r="C71" s="443" t="s">
        <v>280</v>
      </c>
      <c r="D71" s="296">
        <v>30</v>
      </c>
      <c r="E71" s="434"/>
      <c r="F71" s="434"/>
    </row>
    <row r="72" spans="1:9" s="12" customFormat="1">
      <c r="A72" s="465"/>
      <c r="B72" s="623"/>
      <c r="C72" s="443"/>
      <c r="D72" s="296"/>
      <c r="E72" s="434"/>
      <c r="F72" s="345"/>
    </row>
    <row r="73" spans="1:9" s="12" customFormat="1" ht="75">
      <c r="A73" s="629">
        <v>8</v>
      </c>
      <c r="B73" s="630" t="s">
        <v>2687</v>
      </c>
      <c r="C73" s="443" t="s">
        <v>2489</v>
      </c>
      <c r="D73" s="296">
        <v>21</v>
      </c>
      <c r="E73" s="434"/>
      <c r="F73" s="434"/>
      <c r="I73" s="427"/>
    </row>
    <row r="74" spans="1:9" s="12" customFormat="1">
      <c r="A74" s="465"/>
      <c r="B74" s="623"/>
      <c r="C74" s="443"/>
      <c r="D74" s="296"/>
      <c r="E74" s="434"/>
      <c r="F74" s="345"/>
    </row>
    <row r="75" spans="1:9" s="12" customFormat="1" ht="73.150000000000006" customHeight="1">
      <c r="A75" s="631">
        <v>9</v>
      </c>
      <c r="B75" s="632" t="s">
        <v>2688</v>
      </c>
      <c r="C75" s="443" t="s">
        <v>2489</v>
      </c>
      <c r="D75" s="296">
        <v>20</v>
      </c>
      <c r="E75" s="434"/>
      <c r="F75" s="434"/>
    </row>
    <row r="76" spans="1:9" s="12" customFormat="1">
      <c r="A76" s="465"/>
      <c r="B76" s="623"/>
      <c r="C76" s="443"/>
      <c r="D76" s="296"/>
      <c r="E76" s="434"/>
      <c r="F76" s="345"/>
    </row>
    <row r="77" spans="1:9" s="12" customFormat="1" ht="45">
      <c r="A77" s="631">
        <v>10</v>
      </c>
      <c r="B77" s="632" t="s">
        <v>2689</v>
      </c>
      <c r="C77" s="443" t="s">
        <v>3394</v>
      </c>
      <c r="D77" s="296">
        <v>30</v>
      </c>
      <c r="E77" s="434"/>
      <c r="F77" s="434"/>
    </row>
    <row r="78" spans="1:9" s="12" customFormat="1">
      <c r="A78" s="465"/>
      <c r="B78" s="623"/>
      <c r="C78" s="443"/>
      <c r="D78" s="296"/>
      <c r="E78" s="434"/>
      <c r="F78" s="345"/>
    </row>
    <row r="79" spans="1:9" s="12" customFormat="1">
      <c r="A79" s="432" t="s">
        <v>2757</v>
      </c>
      <c r="B79" s="433" t="s">
        <v>278</v>
      </c>
      <c r="C79" s="436"/>
      <c r="D79" s="436" t="s">
        <v>34</v>
      </c>
      <c r="E79" s="437"/>
      <c r="F79" s="434"/>
    </row>
    <row r="80" spans="1:9" s="12" customFormat="1">
      <c r="A80" s="432"/>
      <c r="B80" s="433"/>
      <c r="C80" s="436"/>
      <c r="D80" s="436"/>
      <c r="E80" s="437"/>
      <c r="F80" s="434"/>
    </row>
    <row r="81" spans="1:6" s="12" customFormat="1">
      <c r="A81" s="432"/>
      <c r="B81" s="433"/>
      <c r="C81" s="436"/>
      <c r="D81" s="436"/>
      <c r="E81" s="437"/>
      <c r="F81" s="434"/>
    </row>
    <row r="82" spans="1:6" s="12" customFormat="1">
      <c r="A82" s="465"/>
      <c r="B82" s="623"/>
      <c r="C82" s="443"/>
      <c r="D82" s="296"/>
      <c r="E82" s="434"/>
      <c r="F82" s="345"/>
    </row>
    <row r="83" spans="1:6" s="12" customFormat="1">
      <c r="A83" s="499" t="s">
        <v>2764</v>
      </c>
      <c r="B83" s="633" t="s">
        <v>2690</v>
      </c>
      <c r="C83" s="449"/>
      <c r="D83" s="436"/>
      <c r="E83" s="437"/>
      <c r="F83" s="345"/>
    </row>
    <row r="84" spans="1:6" s="12" customFormat="1">
      <c r="A84" s="465"/>
      <c r="B84" s="623"/>
      <c r="C84" s="443"/>
      <c r="D84" s="296"/>
      <c r="E84" s="434"/>
      <c r="F84" s="345"/>
    </row>
    <row r="85" spans="1:6" s="12" customFormat="1" ht="30">
      <c r="A85" s="622">
        <v>1</v>
      </c>
      <c r="B85" s="438" t="s">
        <v>2691</v>
      </c>
      <c r="C85" s="443" t="s">
        <v>280</v>
      </c>
      <c r="D85" s="296">
        <v>468</v>
      </c>
      <c r="E85" s="434"/>
      <c r="F85" s="434"/>
    </row>
    <row r="86" spans="1:6" s="12" customFormat="1">
      <c r="A86" s="465"/>
      <c r="B86" s="623"/>
      <c r="C86" s="443"/>
      <c r="D86" s="296"/>
      <c r="E86" s="434"/>
      <c r="F86" s="345"/>
    </row>
    <row r="87" spans="1:6" s="12" customFormat="1" ht="119.25" customHeight="1">
      <c r="A87" s="634">
        <v>2</v>
      </c>
      <c r="B87" s="635" t="s">
        <v>2692</v>
      </c>
      <c r="C87" s="443"/>
      <c r="D87" s="296"/>
      <c r="E87" s="434"/>
      <c r="F87" s="345"/>
    </row>
    <row r="88" spans="1:6" s="12" customFormat="1" ht="17.25">
      <c r="A88" s="465"/>
      <c r="B88" s="636" t="s">
        <v>2681</v>
      </c>
      <c r="C88" s="443" t="s">
        <v>2489</v>
      </c>
      <c r="D88" s="296">
        <v>450</v>
      </c>
      <c r="E88" s="434"/>
      <c r="F88" s="434"/>
    </row>
    <row r="89" spans="1:6" s="12" customFormat="1">
      <c r="A89" s="465"/>
      <c r="B89" s="623"/>
      <c r="C89" s="443"/>
      <c r="D89" s="296"/>
      <c r="E89" s="434"/>
      <c r="F89" s="345"/>
    </row>
    <row r="90" spans="1:6" s="12" customFormat="1" ht="75">
      <c r="A90" s="621">
        <v>3</v>
      </c>
      <c r="B90" s="440" t="s">
        <v>2693</v>
      </c>
      <c r="C90" s="443" t="s">
        <v>2489</v>
      </c>
      <c r="D90" s="296">
        <v>75</v>
      </c>
      <c r="E90" s="434"/>
      <c r="F90" s="434"/>
    </row>
    <row r="91" spans="1:6" s="12" customFormat="1">
      <c r="A91" s="465"/>
      <c r="B91" s="623"/>
      <c r="C91" s="443"/>
      <c r="D91" s="296"/>
      <c r="E91" s="434"/>
      <c r="F91" s="345"/>
    </row>
    <row r="92" spans="1:6" s="12" customFormat="1" ht="17.25">
      <c r="A92" s="637">
        <v>4</v>
      </c>
      <c r="B92" s="638" t="s">
        <v>2683</v>
      </c>
      <c r="C92" s="626" t="s">
        <v>3394</v>
      </c>
      <c r="D92" s="296">
        <v>375</v>
      </c>
      <c r="E92" s="434"/>
      <c r="F92" s="434"/>
    </row>
    <row r="93" spans="1:6" s="12" customFormat="1">
      <c r="A93" s="465"/>
      <c r="B93" s="623"/>
      <c r="C93" s="443"/>
      <c r="D93" s="296"/>
      <c r="E93" s="434"/>
      <c r="F93" s="345"/>
    </row>
    <row r="94" spans="1:6" s="12" customFormat="1" ht="147" customHeight="1">
      <c r="A94" s="639">
        <v>5</v>
      </c>
      <c r="B94" s="640" t="s">
        <v>2694</v>
      </c>
      <c r="C94" s="443" t="s">
        <v>2489</v>
      </c>
      <c r="D94" s="296">
        <v>38</v>
      </c>
      <c r="E94" s="434"/>
      <c r="F94" s="434"/>
    </row>
    <row r="95" spans="1:6" s="12" customFormat="1">
      <c r="A95" s="465"/>
      <c r="B95" s="623"/>
      <c r="C95" s="443"/>
      <c r="D95" s="296"/>
      <c r="E95" s="434"/>
      <c r="F95" s="345"/>
    </row>
    <row r="96" spans="1:6" s="12" customFormat="1" ht="119.45" customHeight="1">
      <c r="A96" s="641">
        <v>6</v>
      </c>
      <c r="B96" s="642" t="s">
        <v>2695</v>
      </c>
      <c r="C96" s="443" t="s">
        <v>2489</v>
      </c>
      <c r="D96" s="296">
        <v>169</v>
      </c>
      <c r="E96" s="434"/>
      <c r="F96" s="434"/>
    </row>
    <row r="97" spans="1:6" s="12" customFormat="1">
      <c r="A97" s="641"/>
      <c r="B97" s="642"/>
      <c r="C97" s="443"/>
      <c r="D97" s="296"/>
      <c r="E97" s="434"/>
      <c r="F97" s="345"/>
    </row>
    <row r="98" spans="1:6" s="12" customFormat="1" ht="45">
      <c r="A98" s="629">
        <v>7</v>
      </c>
      <c r="B98" s="630" t="s">
        <v>2696</v>
      </c>
      <c r="C98" s="443" t="s">
        <v>280</v>
      </c>
      <c r="D98" s="296">
        <v>468</v>
      </c>
      <c r="E98" s="434"/>
      <c r="F98" s="434"/>
    </row>
    <row r="99" spans="1:6" s="12" customFormat="1">
      <c r="A99" s="465"/>
      <c r="B99" s="623"/>
      <c r="C99" s="443"/>
      <c r="D99" s="296"/>
      <c r="E99" s="434"/>
      <c r="F99" s="345"/>
    </row>
    <row r="100" spans="1:6" s="12" customFormat="1" ht="60">
      <c r="A100" s="643">
        <v>8</v>
      </c>
      <c r="B100" s="644" t="s">
        <v>2697</v>
      </c>
      <c r="C100" s="443" t="s">
        <v>2489</v>
      </c>
      <c r="D100" s="296">
        <v>244</v>
      </c>
      <c r="E100" s="434"/>
      <c r="F100" s="434"/>
    </row>
    <row r="101" spans="1:6" s="12" customFormat="1">
      <c r="A101" s="465"/>
      <c r="B101" s="619"/>
      <c r="C101" s="459"/>
      <c r="D101" s="296"/>
      <c r="E101" s="434"/>
      <c r="F101" s="345"/>
    </row>
    <row r="102" spans="1:6" s="12" customFormat="1" ht="159" customHeight="1">
      <c r="A102" s="645">
        <v>9</v>
      </c>
      <c r="B102" s="646" t="s">
        <v>2698</v>
      </c>
      <c r="C102" s="443" t="s">
        <v>2489</v>
      </c>
      <c r="D102" s="296">
        <v>353</v>
      </c>
      <c r="E102" s="434"/>
      <c r="F102" s="434"/>
    </row>
    <row r="103" spans="1:6" s="12" customFormat="1">
      <c r="A103" s="465"/>
      <c r="B103" s="623"/>
      <c r="C103" s="443"/>
      <c r="D103" s="296"/>
      <c r="E103" s="434"/>
      <c r="F103" s="345"/>
    </row>
    <row r="104" spans="1:6" s="12" customFormat="1" ht="46.9" customHeight="1">
      <c r="A104" s="631">
        <v>10</v>
      </c>
      <c r="B104" s="632" t="s">
        <v>2689</v>
      </c>
      <c r="C104" s="443" t="s">
        <v>3394</v>
      </c>
      <c r="D104" s="296">
        <v>468</v>
      </c>
      <c r="E104" s="434"/>
      <c r="F104" s="434"/>
    </row>
    <row r="105" spans="1:6" s="12" customFormat="1">
      <c r="A105" s="465"/>
      <c r="B105" s="623"/>
      <c r="C105" s="443"/>
      <c r="D105" s="296"/>
      <c r="E105" s="434"/>
      <c r="F105" s="345"/>
    </row>
    <row r="106" spans="1:6" s="12" customFormat="1">
      <c r="A106" s="432" t="s">
        <v>2764</v>
      </c>
      <c r="B106" s="433" t="s">
        <v>278</v>
      </c>
      <c r="C106" s="436"/>
      <c r="D106" s="436" t="s">
        <v>34</v>
      </c>
      <c r="E106" s="437"/>
      <c r="F106" s="434"/>
    </row>
    <row r="107" spans="1:6" s="12" customFormat="1">
      <c r="A107" s="432"/>
      <c r="B107" s="433"/>
      <c r="C107" s="436"/>
      <c r="D107" s="436"/>
      <c r="E107" s="437"/>
      <c r="F107" s="434"/>
    </row>
    <row r="108" spans="1:6" s="12" customFormat="1">
      <c r="A108" s="432"/>
      <c r="B108" s="433"/>
      <c r="C108" s="436"/>
      <c r="D108" s="436"/>
      <c r="E108" s="437"/>
      <c r="F108" s="434"/>
    </row>
    <row r="109" spans="1:6" s="12" customFormat="1">
      <c r="A109" s="232"/>
      <c r="B109" s="233"/>
      <c r="C109" s="296"/>
      <c r="D109" s="296"/>
      <c r="E109" s="434"/>
      <c r="F109" s="434"/>
    </row>
    <row r="110" spans="1:6" s="12" customFormat="1">
      <c r="A110" s="499" t="s">
        <v>2795</v>
      </c>
      <c r="B110" s="633" t="s">
        <v>2699</v>
      </c>
      <c r="C110" s="449"/>
      <c r="D110" s="436"/>
      <c r="E110" s="437"/>
      <c r="F110" s="345"/>
    </row>
    <row r="111" spans="1:6" s="12" customFormat="1">
      <c r="A111" s="465"/>
      <c r="B111" s="623"/>
      <c r="C111" s="443"/>
      <c r="D111" s="296"/>
      <c r="E111" s="434"/>
      <c r="F111" s="345"/>
    </row>
    <row r="112" spans="1:6" s="12" customFormat="1" ht="150">
      <c r="A112" s="647">
        <v>1</v>
      </c>
      <c r="B112" s="648" t="s">
        <v>2700</v>
      </c>
      <c r="C112" s="443"/>
      <c r="D112" s="296"/>
      <c r="E112" s="434"/>
      <c r="F112" s="345"/>
    </row>
    <row r="113" spans="1:6" s="12" customFormat="1" ht="195">
      <c r="A113" s="465"/>
      <c r="B113" s="648" t="s">
        <v>2701</v>
      </c>
      <c r="C113" s="443"/>
      <c r="D113" s="296"/>
      <c r="E113" s="434"/>
      <c r="F113" s="345"/>
    </row>
    <row r="114" spans="1:6" s="12" customFormat="1" ht="74.45" customHeight="1">
      <c r="A114" s="465"/>
      <c r="B114" s="649" t="s">
        <v>3405</v>
      </c>
      <c r="C114" s="443" t="s">
        <v>18</v>
      </c>
      <c r="D114" s="296">
        <v>1</v>
      </c>
      <c r="E114" s="434"/>
      <c r="F114" s="434"/>
    </row>
    <row r="115" spans="1:6" s="12" customFormat="1">
      <c r="A115" s="465"/>
      <c r="B115" s="649"/>
      <c r="C115" s="443"/>
      <c r="D115" s="296"/>
      <c r="E115" s="434"/>
      <c r="F115" s="345"/>
    </row>
    <row r="116" spans="1:6" s="12" customFormat="1" ht="75">
      <c r="A116" s="441">
        <v>2</v>
      </c>
      <c r="B116" s="442" t="s">
        <v>2702</v>
      </c>
      <c r="C116" s="443" t="s">
        <v>18</v>
      </c>
      <c r="D116" s="296">
        <v>1</v>
      </c>
      <c r="E116" s="434"/>
      <c r="F116" s="434"/>
    </row>
    <row r="117" spans="1:6" s="12" customFormat="1">
      <c r="A117" s="465"/>
      <c r="B117" s="649"/>
      <c r="C117" s="443"/>
      <c r="D117" s="296"/>
      <c r="E117" s="434"/>
      <c r="F117" s="345"/>
    </row>
    <row r="118" spans="1:6" s="12" customFormat="1">
      <c r="A118" s="432" t="s">
        <v>2795</v>
      </c>
      <c r="B118" s="433" t="s">
        <v>278</v>
      </c>
      <c r="C118" s="436"/>
      <c r="D118" s="436" t="s">
        <v>34</v>
      </c>
      <c r="E118" s="437"/>
      <c r="F118" s="434"/>
    </row>
    <row r="119" spans="1:6" s="12" customFormat="1">
      <c r="A119" s="432"/>
      <c r="B119" s="433"/>
      <c r="C119" s="436"/>
      <c r="D119" s="436"/>
      <c r="E119" s="437"/>
      <c r="F119" s="434"/>
    </row>
    <row r="120" spans="1:6" s="12" customFormat="1">
      <c r="A120" s="432"/>
      <c r="B120" s="433"/>
      <c r="C120" s="436"/>
      <c r="D120" s="436"/>
      <c r="E120" s="437"/>
      <c r="F120" s="434"/>
    </row>
    <row r="121" spans="1:6" s="12" customFormat="1">
      <c r="A121" s="232"/>
      <c r="B121" s="233"/>
      <c r="C121" s="296"/>
      <c r="D121" s="296"/>
      <c r="E121" s="434"/>
      <c r="F121" s="434"/>
    </row>
    <row r="122" spans="1:6" s="12" customFormat="1">
      <c r="A122" s="499" t="s">
        <v>2885</v>
      </c>
      <c r="B122" s="433" t="s">
        <v>2703</v>
      </c>
      <c r="C122" s="436"/>
      <c r="D122" s="436" t="s">
        <v>34</v>
      </c>
      <c r="E122" s="437"/>
      <c r="F122" s="434"/>
    </row>
    <row r="123" spans="1:6" s="12" customFormat="1">
      <c r="A123" s="232"/>
      <c r="B123" s="233"/>
      <c r="C123" s="296"/>
      <c r="D123" s="296" t="s">
        <v>34</v>
      </c>
      <c r="E123" s="434"/>
      <c r="F123" s="434"/>
    </row>
    <row r="124" spans="1:6" s="12" customFormat="1" ht="145.9" customHeight="1">
      <c r="A124" s="650">
        <v>1</v>
      </c>
      <c r="B124" s="21" t="s">
        <v>3406</v>
      </c>
      <c r="C124" s="459"/>
      <c r="D124" s="296"/>
      <c r="E124" s="434"/>
      <c r="F124" s="345"/>
    </row>
    <row r="125" spans="1:6" s="12" customFormat="1" ht="176.45" customHeight="1">
      <c r="A125" s="465"/>
      <c r="B125" s="21" t="s">
        <v>2704</v>
      </c>
      <c r="C125" s="296"/>
      <c r="D125" s="296" t="s">
        <v>34</v>
      </c>
      <c r="E125" s="434"/>
      <c r="F125" s="434"/>
    </row>
    <row r="126" spans="1:6" s="12" customFormat="1" ht="18" customHeight="1">
      <c r="A126" s="232"/>
      <c r="B126" s="651" t="s">
        <v>2705</v>
      </c>
      <c r="C126" s="459" t="s">
        <v>18</v>
      </c>
      <c r="D126" s="296">
        <v>1</v>
      </c>
      <c r="E126" s="434"/>
      <c r="F126" s="434"/>
    </row>
    <row r="127" spans="1:6" s="12" customFormat="1" ht="33.75" customHeight="1">
      <c r="A127" s="232"/>
      <c r="B127" s="651" t="s">
        <v>2706</v>
      </c>
      <c r="C127" s="459" t="s">
        <v>18</v>
      </c>
      <c r="D127" s="296">
        <v>3</v>
      </c>
      <c r="E127" s="434"/>
      <c r="F127" s="434"/>
    </row>
    <row r="128" spans="1:6" s="12" customFormat="1" ht="47.45" customHeight="1">
      <c r="A128" s="232"/>
      <c r="B128" s="651" t="s">
        <v>2707</v>
      </c>
      <c r="C128" s="459" t="s">
        <v>18</v>
      </c>
      <c r="D128" s="296">
        <v>4</v>
      </c>
      <c r="E128" s="434"/>
      <c r="F128" s="434"/>
    </row>
    <row r="129" spans="1:6" s="12" customFormat="1" ht="18" customHeight="1">
      <c r="A129" s="232"/>
      <c r="B129" s="651" t="s">
        <v>2708</v>
      </c>
      <c r="C129" s="459" t="s">
        <v>18</v>
      </c>
      <c r="D129" s="296">
        <v>2</v>
      </c>
      <c r="E129" s="434"/>
      <c r="F129" s="434"/>
    </row>
    <row r="130" spans="1:6" s="12" customFormat="1" ht="33" customHeight="1">
      <c r="A130" s="232"/>
      <c r="B130" s="651" t="s">
        <v>2709</v>
      </c>
      <c r="C130" s="459" t="s">
        <v>18</v>
      </c>
      <c r="D130" s="296">
        <v>5</v>
      </c>
      <c r="E130" s="434"/>
      <c r="F130" s="434"/>
    </row>
    <row r="131" spans="1:6" s="12" customFormat="1" ht="33.75" customHeight="1">
      <c r="A131" s="232"/>
      <c r="B131" s="651" t="s">
        <v>2710</v>
      </c>
      <c r="C131" s="459" t="s">
        <v>18</v>
      </c>
      <c r="D131" s="296">
        <v>2</v>
      </c>
      <c r="E131" s="434"/>
      <c r="F131" s="434"/>
    </row>
    <row r="132" spans="1:6" s="12" customFormat="1" ht="47.45" customHeight="1">
      <c r="A132" s="232"/>
      <c r="B132" s="651" t="s">
        <v>2707</v>
      </c>
      <c r="C132" s="459" t="s">
        <v>18</v>
      </c>
      <c r="D132" s="296">
        <v>5</v>
      </c>
      <c r="E132" s="434"/>
      <c r="F132" s="434"/>
    </row>
    <row r="133" spans="1:6" s="12" customFormat="1">
      <c r="A133" s="232"/>
      <c r="B133" s="233"/>
      <c r="C133" s="296"/>
      <c r="D133" s="296"/>
      <c r="E133" s="434"/>
      <c r="F133" s="434"/>
    </row>
    <row r="134" spans="1:6" s="12" customFormat="1">
      <c r="A134" s="432" t="s">
        <v>2885</v>
      </c>
      <c r="B134" s="433" t="s">
        <v>278</v>
      </c>
      <c r="C134" s="436"/>
      <c r="D134" s="436"/>
      <c r="E134" s="437"/>
      <c r="F134" s="434"/>
    </row>
    <row r="135" spans="1:6" s="12" customFormat="1">
      <c r="A135" s="432"/>
      <c r="B135" s="433"/>
      <c r="C135" s="436"/>
      <c r="D135" s="436"/>
      <c r="E135" s="437"/>
      <c r="F135" s="434"/>
    </row>
    <row r="136" spans="1:6" s="12" customFormat="1">
      <c r="A136" s="432"/>
      <c r="B136" s="433"/>
      <c r="C136" s="436"/>
      <c r="D136" s="436"/>
      <c r="E136" s="437"/>
      <c r="F136" s="434"/>
    </row>
    <row r="137" spans="1:6" s="12" customFormat="1">
      <c r="A137" s="232"/>
      <c r="B137" s="233"/>
      <c r="C137" s="296"/>
      <c r="D137" s="296"/>
      <c r="E137" s="434"/>
      <c r="F137" s="434"/>
    </row>
    <row r="138" spans="1:6" s="12" customFormat="1">
      <c r="A138" s="499" t="s">
        <v>2886</v>
      </c>
      <c r="B138" s="433" t="s">
        <v>2711</v>
      </c>
      <c r="C138" s="436"/>
      <c r="D138" s="436" t="s">
        <v>34</v>
      </c>
      <c r="E138" s="437"/>
      <c r="F138" s="434"/>
    </row>
    <row r="139" spans="1:6" s="12" customFormat="1">
      <c r="A139" s="465"/>
      <c r="B139" s="623"/>
      <c r="C139" s="443"/>
      <c r="D139" s="296"/>
      <c r="E139" s="434"/>
      <c r="F139" s="345"/>
    </row>
    <row r="140" spans="1:6" s="12" customFormat="1">
      <c r="A140" s="465"/>
      <c r="B140" s="633" t="s">
        <v>2712</v>
      </c>
      <c r="C140" s="443"/>
      <c r="D140" s="296"/>
      <c r="E140" s="434"/>
      <c r="F140" s="345"/>
    </row>
    <row r="141" spans="1:6" s="12" customFormat="1">
      <c r="A141" s="465"/>
      <c r="B141" s="623"/>
      <c r="C141" s="443"/>
      <c r="D141" s="296"/>
      <c r="E141" s="434"/>
      <c r="F141" s="345"/>
    </row>
    <row r="142" spans="1:6" s="12" customFormat="1" ht="132.6" customHeight="1">
      <c r="A142" s="652">
        <v>1</v>
      </c>
      <c r="B142" s="653" t="s">
        <v>2713</v>
      </c>
      <c r="C142" s="296"/>
      <c r="D142" s="296" t="s">
        <v>34</v>
      </c>
      <c r="E142" s="434"/>
      <c r="F142" s="434"/>
    </row>
    <row r="143" spans="1:6" s="12" customFormat="1">
      <c r="A143" s="465"/>
      <c r="B143" s="654" t="s">
        <v>2714</v>
      </c>
      <c r="C143" s="459" t="s">
        <v>280</v>
      </c>
      <c r="D143" s="296">
        <v>15</v>
      </c>
      <c r="E143" s="434"/>
      <c r="F143" s="434"/>
    </row>
    <row r="144" spans="1:6" s="12" customFormat="1">
      <c r="A144" s="232"/>
      <c r="B144" s="233"/>
      <c r="C144" s="296"/>
      <c r="D144" s="296" t="s">
        <v>34</v>
      </c>
      <c r="E144" s="434"/>
      <c r="F144" s="434"/>
    </row>
    <row r="145" spans="1:6" s="12" customFormat="1" ht="135">
      <c r="A145" s="655">
        <v>2</v>
      </c>
      <c r="B145" s="656" t="s">
        <v>3407</v>
      </c>
      <c r="C145" s="443"/>
      <c r="D145" s="296"/>
      <c r="E145" s="434"/>
      <c r="F145" s="345"/>
    </row>
    <row r="146" spans="1:6" s="12" customFormat="1">
      <c r="A146" s="232"/>
      <c r="B146" s="657" t="s">
        <v>2715</v>
      </c>
      <c r="C146" s="443" t="s">
        <v>280</v>
      </c>
      <c r="D146" s="296">
        <v>15</v>
      </c>
      <c r="E146" s="434"/>
      <c r="F146" s="434"/>
    </row>
    <row r="147" spans="1:6" s="12" customFormat="1">
      <c r="A147" s="232"/>
      <c r="B147" s="233"/>
      <c r="C147" s="296"/>
      <c r="D147" s="296" t="s">
        <v>34</v>
      </c>
      <c r="E147" s="434"/>
      <c r="F147" s="434"/>
    </row>
    <row r="148" spans="1:6" s="12" customFormat="1" ht="105">
      <c r="A148" s="658">
        <v>3</v>
      </c>
      <c r="B148" s="659" t="s">
        <v>2716</v>
      </c>
      <c r="C148" s="296"/>
      <c r="D148" s="296" t="s">
        <v>34</v>
      </c>
      <c r="E148" s="434"/>
      <c r="F148" s="434"/>
    </row>
    <row r="149" spans="1:6" s="12" customFormat="1">
      <c r="A149" s="232"/>
      <c r="B149" s="660" t="s">
        <v>2717</v>
      </c>
      <c r="C149" s="296"/>
      <c r="D149" s="296"/>
      <c r="E149" s="434"/>
      <c r="F149" s="434"/>
    </row>
    <row r="150" spans="1:6" s="12" customFormat="1">
      <c r="A150" s="232"/>
      <c r="B150" s="661" t="s">
        <v>2718</v>
      </c>
      <c r="C150" s="296"/>
      <c r="D150" s="296"/>
      <c r="E150" s="434"/>
      <c r="F150" s="434"/>
    </row>
    <row r="151" spans="1:6" s="12" customFormat="1">
      <c r="A151" s="465"/>
      <c r="B151" s="661" t="s">
        <v>2719</v>
      </c>
      <c r="C151" s="296"/>
      <c r="D151" s="296"/>
      <c r="E151" s="434"/>
      <c r="F151" s="434"/>
    </row>
    <row r="152" spans="1:6" s="12" customFormat="1">
      <c r="A152" s="232"/>
      <c r="B152" s="661" t="s">
        <v>2720</v>
      </c>
      <c r="C152" s="296"/>
      <c r="D152" s="296"/>
      <c r="E152" s="434"/>
      <c r="F152" s="434"/>
    </row>
    <row r="153" spans="1:6" s="12" customFormat="1">
      <c r="A153" s="465"/>
      <c r="B153" s="661" t="s">
        <v>2721</v>
      </c>
      <c r="C153" s="296"/>
      <c r="D153" s="296"/>
      <c r="E153" s="434"/>
      <c r="F153" s="434"/>
    </row>
    <row r="154" spans="1:6" s="12" customFormat="1" ht="30">
      <c r="A154" s="465"/>
      <c r="B154" s="661" t="s">
        <v>2722</v>
      </c>
      <c r="C154" s="296"/>
      <c r="D154" s="296"/>
      <c r="E154" s="434"/>
      <c r="F154" s="434"/>
    </row>
    <row r="155" spans="1:6" s="12" customFormat="1">
      <c r="A155" s="232"/>
      <c r="B155" s="661" t="s">
        <v>2723</v>
      </c>
      <c r="C155" s="296"/>
      <c r="D155" s="296"/>
      <c r="E155" s="434"/>
      <c r="F155" s="434"/>
    </row>
    <row r="156" spans="1:6" s="12" customFormat="1">
      <c r="A156" s="232"/>
      <c r="B156" s="661" t="s">
        <v>2724</v>
      </c>
      <c r="C156" s="296"/>
      <c r="D156" s="296"/>
      <c r="E156" s="434"/>
      <c r="F156" s="434"/>
    </row>
    <row r="157" spans="1:6" s="12" customFormat="1">
      <c r="A157" s="232"/>
      <c r="B157" s="662" t="s">
        <v>2725</v>
      </c>
      <c r="C157" s="443" t="s">
        <v>76</v>
      </c>
      <c r="D157" s="296">
        <v>1</v>
      </c>
      <c r="E157" s="434"/>
      <c r="F157" s="434"/>
    </row>
    <row r="158" spans="1:6" s="12" customFormat="1">
      <c r="A158" s="232"/>
      <c r="B158" s="662"/>
      <c r="C158" s="443"/>
      <c r="D158" s="296"/>
      <c r="E158" s="434"/>
      <c r="F158" s="345"/>
    </row>
    <row r="159" spans="1:6" s="12" customFormat="1" ht="103.15" customHeight="1">
      <c r="A159" s="663">
        <v>4</v>
      </c>
      <c r="B159" s="664" t="s">
        <v>2726</v>
      </c>
      <c r="C159" s="459" t="s">
        <v>76</v>
      </c>
      <c r="D159" s="296">
        <v>1</v>
      </c>
      <c r="E159" s="665"/>
      <c r="F159" s="665"/>
    </row>
    <row r="160" spans="1:6" s="12" customFormat="1">
      <c r="A160" s="663"/>
      <c r="B160" s="664"/>
      <c r="C160" s="459"/>
      <c r="D160" s="296"/>
      <c r="E160" s="665"/>
      <c r="F160" s="665"/>
    </row>
    <row r="161" spans="1:6" s="12" customFormat="1" ht="30">
      <c r="A161" s="444">
        <v>5</v>
      </c>
      <c r="B161" s="6" t="s">
        <v>2727</v>
      </c>
      <c r="C161" s="445" t="s">
        <v>76</v>
      </c>
      <c r="D161" s="296">
        <v>1</v>
      </c>
      <c r="E161" s="434"/>
      <c r="F161" s="434"/>
    </row>
    <row r="162" spans="1:6" s="12" customFormat="1">
      <c r="A162" s="232"/>
      <c r="B162" s="662"/>
      <c r="C162" s="443"/>
      <c r="D162" s="296"/>
      <c r="E162" s="434"/>
      <c r="F162" s="345"/>
    </row>
    <row r="163" spans="1:6" s="12" customFormat="1" ht="45">
      <c r="A163" s="666">
        <v>6</v>
      </c>
      <c r="B163" s="667" t="s">
        <v>2728</v>
      </c>
      <c r="C163" s="443" t="s">
        <v>76</v>
      </c>
      <c r="D163" s="296">
        <v>1</v>
      </c>
      <c r="E163" s="434"/>
      <c r="F163" s="434"/>
    </row>
    <row r="164" spans="1:6" s="12" customFormat="1">
      <c r="A164" s="465"/>
      <c r="B164" s="233"/>
      <c r="C164" s="296"/>
      <c r="D164" s="296" t="s">
        <v>34</v>
      </c>
      <c r="E164" s="434"/>
      <c r="F164" s="434"/>
    </row>
    <row r="165" spans="1:6" s="12" customFormat="1" ht="45">
      <c r="A165" s="668">
        <v>7</v>
      </c>
      <c r="B165" s="669" t="s">
        <v>2729</v>
      </c>
      <c r="C165" s="443" t="s">
        <v>76</v>
      </c>
      <c r="D165" s="296">
        <v>1</v>
      </c>
      <c r="E165" s="434"/>
      <c r="F165" s="434"/>
    </row>
    <row r="166" spans="1:6" s="12" customFormat="1">
      <c r="A166" s="668"/>
      <c r="B166" s="669"/>
      <c r="C166" s="443"/>
      <c r="D166" s="296"/>
      <c r="E166" s="434"/>
      <c r="F166" s="434"/>
    </row>
    <row r="167" spans="1:6" s="12" customFormat="1">
      <c r="A167" s="465"/>
      <c r="B167" s="633" t="s">
        <v>2730</v>
      </c>
      <c r="C167" s="443"/>
      <c r="D167" s="296"/>
      <c r="E167" s="434"/>
      <c r="F167" s="345"/>
    </row>
    <row r="168" spans="1:6" s="12" customFormat="1">
      <c r="A168" s="465"/>
      <c r="B168" s="633"/>
      <c r="C168" s="443"/>
      <c r="D168" s="296"/>
      <c r="E168" s="434"/>
      <c r="F168" s="345"/>
    </row>
    <row r="169" spans="1:6" s="12" customFormat="1" ht="134.44999999999999" customHeight="1">
      <c r="A169" s="670">
        <v>8</v>
      </c>
      <c r="B169" s="671" t="s">
        <v>2713</v>
      </c>
      <c r="C169" s="296"/>
      <c r="D169" s="296" t="s">
        <v>34</v>
      </c>
      <c r="E169" s="434"/>
      <c r="F169" s="434"/>
    </row>
    <row r="170" spans="1:6" s="12" customFormat="1">
      <c r="A170" s="465"/>
      <c r="B170" s="654" t="s">
        <v>2731</v>
      </c>
      <c r="C170" s="459" t="s">
        <v>280</v>
      </c>
      <c r="D170" s="296">
        <v>15</v>
      </c>
      <c r="E170" s="434"/>
      <c r="F170" s="434"/>
    </row>
    <row r="171" spans="1:6" s="12" customFormat="1">
      <c r="A171" s="232"/>
      <c r="B171" s="233"/>
      <c r="C171" s="296"/>
      <c r="D171" s="296" t="s">
        <v>34</v>
      </c>
      <c r="E171" s="434"/>
      <c r="F171" s="434"/>
    </row>
    <row r="172" spans="1:6" s="12" customFormat="1" ht="120">
      <c r="A172" s="672">
        <v>9</v>
      </c>
      <c r="B172" s="673" t="s">
        <v>3408</v>
      </c>
      <c r="C172" s="459"/>
      <c r="D172" s="296"/>
      <c r="E172" s="434"/>
      <c r="F172" s="345"/>
    </row>
    <row r="173" spans="1:6" s="12" customFormat="1">
      <c r="A173" s="232"/>
      <c r="B173" s="462" t="s">
        <v>2732</v>
      </c>
      <c r="C173" s="459" t="s">
        <v>280</v>
      </c>
      <c r="D173" s="296">
        <v>15</v>
      </c>
      <c r="E173" s="434"/>
      <c r="F173" s="434"/>
    </row>
    <row r="174" spans="1:6" s="12" customFormat="1">
      <c r="A174" s="232"/>
      <c r="B174" s="233"/>
      <c r="C174" s="296"/>
      <c r="D174" s="296" t="s">
        <v>34</v>
      </c>
      <c r="E174" s="434"/>
      <c r="F174" s="434"/>
    </row>
    <row r="175" spans="1:6" s="12" customFormat="1" ht="63" customHeight="1">
      <c r="A175" s="674">
        <v>10</v>
      </c>
      <c r="B175" s="675" t="s">
        <v>2733</v>
      </c>
      <c r="C175" s="296"/>
      <c r="D175" s="296" t="s">
        <v>34</v>
      </c>
      <c r="E175" s="665"/>
      <c r="F175" s="665"/>
    </row>
    <row r="176" spans="1:6" s="12" customFormat="1">
      <c r="A176" s="674"/>
      <c r="B176" s="675" t="s">
        <v>2734</v>
      </c>
      <c r="C176" s="296"/>
      <c r="D176" s="296"/>
      <c r="E176" s="665"/>
      <c r="F176" s="665"/>
    </row>
    <row r="177" spans="1:6" s="12" customFormat="1" ht="30">
      <c r="A177" s="674"/>
      <c r="B177" s="675" t="s">
        <v>2735</v>
      </c>
      <c r="C177" s="296"/>
      <c r="D177" s="296"/>
      <c r="E177" s="665"/>
      <c r="F177" s="665"/>
    </row>
    <row r="178" spans="1:6" s="12" customFormat="1">
      <c r="A178" s="674"/>
      <c r="B178" s="675" t="s">
        <v>2736</v>
      </c>
      <c r="C178" s="296"/>
      <c r="D178" s="296"/>
      <c r="E178" s="665"/>
      <c r="F178" s="665"/>
    </row>
    <row r="179" spans="1:6" s="12" customFormat="1">
      <c r="A179" s="674"/>
      <c r="B179" s="675" t="s">
        <v>2737</v>
      </c>
      <c r="C179" s="296"/>
      <c r="D179" s="296"/>
      <c r="E179" s="665"/>
      <c r="F179" s="665"/>
    </row>
    <row r="180" spans="1:6" s="12" customFormat="1" ht="30">
      <c r="A180" s="674"/>
      <c r="B180" s="675" t="s">
        <v>2738</v>
      </c>
      <c r="C180" s="345" t="s">
        <v>76</v>
      </c>
      <c r="D180" s="296">
        <v>2</v>
      </c>
      <c r="E180" s="665"/>
      <c r="F180" s="665"/>
    </row>
    <row r="181" spans="1:6" s="12" customFormat="1">
      <c r="A181" s="6"/>
      <c r="B181" s="446"/>
      <c r="C181" s="345"/>
      <c r="D181" s="345"/>
      <c r="E181" s="665"/>
      <c r="F181" s="665"/>
    </row>
    <row r="182" spans="1:6" s="12" customFormat="1" ht="45">
      <c r="A182" s="663">
        <v>11</v>
      </c>
      <c r="B182" s="664" t="s">
        <v>2739</v>
      </c>
      <c r="C182" s="459" t="s">
        <v>76</v>
      </c>
      <c r="D182" s="296">
        <v>2</v>
      </c>
      <c r="E182" s="665"/>
      <c r="F182" s="665"/>
    </row>
    <row r="183" spans="1:6" s="12" customFormat="1">
      <c r="A183" s="6"/>
      <c r="B183" s="446"/>
      <c r="C183" s="345"/>
      <c r="D183" s="345"/>
      <c r="E183" s="665"/>
      <c r="F183" s="665"/>
    </row>
    <row r="184" spans="1:6" s="12" customFormat="1" ht="103.15" customHeight="1">
      <c r="A184" s="663">
        <v>12</v>
      </c>
      <c r="B184" s="664" t="s">
        <v>2740</v>
      </c>
      <c r="C184" s="459" t="s">
        <v>76</v>
      </c>
      <c r="D184" s="296">
        <v>1</v>
      </c>
      <c r="E184" s="665"/>
      <c r="F184" s="665"/>
    </row>
    <row r="185" spans="1:6" s="12" customFormat="1" ht="13.9" customHeight="1">
      <c r="A185" s="663"/>
      <c r="B185" s="664"/>
      <c r="C185" s="459"/>
      <c r="D185" s="296"/>
      <c r="E185" s="434"/>
      <c r="F185" s="434"/>
    </row>
    <row r="186" spans="1:6" s="12" customFormat="1" ht="17.25" customHeight="1">
      <c r="A186" s="676" t="s">
        <v>2886</v>
      </c>
      <c r="B186" s="677" t="s">
        <v>278</v>
      </c>
      <c r="C186" s="678"/>
      <c r="D186" s="678" t="s">
        <v>34</v>
      </c>
      <c r="E186" s="679"/>
      <c r="F186" s="680"/>
    </row>
    <row r="187" spans="1:6" s="12" customFormat="1" ht="17.25" customHeight="1">
      <c r="A187" s="676"/>
      <c r="B187" s="677"/>
      <c r="C187" s="678"/>
      <c r="D187" s="678"/>
      <c r="E187" s="679"/>
      <c r="F187" s="680"/>
    </row>
    <row r="188" spans="1:6" s="12" customFormat="1" ht="17.25" customHeight="1">
      <c r="A188" s="676"/>
      <c r="B188" s="677"/>
      <c r="C188" s="678"/>
      <c r="D188" s="678"/>
      <c r="E188" s="679"/>
      <c r="F188" s="680"/>
    </row>
    <row r="189" spans="1:6" s="12" customFormat="1">
      <c r="A189" s="232"/>
      <c r="B189" s="233"/>
      <c r="C189" s="296"/>
      <c r="D189" s="296"/>
      <c r="E189" s="434"/>
      <c r="F189" s="434"/>
    </row>
    <row r="190" spans="1:6" s="12" customFormat="1">
      <c r="A190" s="499" t="s">
        <v>2887</v>
      </c>
      <c r="B190" s="633" t="s">
        <v>2741</v>
      </c>
      <c r="C190" s="449"/>
      <c r="D190" s="436"/>
      <c r="E190" s="437"/>
      <c r="F190" s="345"/>
    </row>
    <row r="191" spans="1:6" s="12" customFormat="1">
      <c r="A191" s="465"/>
      <c r="B191" s="233"/>
      <c r="C191" s="296"/>
      <c r="D191" s="296" t="s">
        <v>34</v>
      </c>
      <c r="E191" s="434"/>
      <c r="F191" s="434"/>
    </row>
    <row r="192" spans="1:6" s="12" customFormat="1" ht="45">
      <c r="A192" s="681">
        <v>1</v>
      </c>
      <c r="B192" s="682" t="s">
        <v>2742</v>
      </c>
      <c r="C192" s="296"/>
      <c r="D192" s="296" t="s">
        <v>34</v>
      </c>
      <c r="E192" s="434"/>
      <c r="F192" s="434"/>
    </row>
    <row r="193" spans="1:6" s="12" customFormat="1">
      <c r="A193" s="465"/>
      <c r="B193" s="233" t="s">
        <v>2743</v>
      </c>
      <c r="C193" s="296"/>
      <c r="D193" s="296" t="s">
        <v>34</v>
      </c>
      <c r="E193" s="434"/>
      <c r="F193" s="434"/>
    </row>
    <row r="194" spans="1:6" s="12" customFormat="1">
      <c r="A194" s="232"/>
      <c r="B194" s="657" t="s">
        <v>2732</v>
      </c>
      <c r="C194" s="443" t="s">
        <v>280</v>
      </c>
      <c r="D194" s="296">
        <v>89</v>
      </c>
      <c r="E194" s="434"/>
      <c r="F194" s="434"/>
    </row>
    <row r="195" spans="1:6" s="12" customFormat="1">
      <c r="A195" s="232"/>
      <c r="B195" s="657" t="s">
        <v>2744</v>
      </c>
      <c r="C195" s="443" t="s">
        <v>280</v>
      </c>
      <c r="D195" s="296">
        <v>379</v>
      </c>
      <c r="E195" s="434"/>
      <c r="F195" s="434"/>
    </row>
    <row r="196" spans="1:6" s="12" customFormat="1">
      <c r="A196" s="465"/>
      <c r="B196" s="623"/>
      <c r="C196" s="443"/>
      <c r="D196" s="296"/>
      <c r="E196" s="434"/>
      <c r="F196" s="345"/>
    </row>
    <row r="197" spans="1:6" s="12" customFormat="1">
      <c r="A197" s="465"/>
      <c r="B197" s="233" t="s">
        <v>2745</v>
      </c>
      <c r="C197" s="296"/>
      <c r="D197" s="296" t="s">
        <v>34</v>
      </c>
      <c r="E197" s="434"/>
      <c r="F197" s="434"/>
    </row>
    <row r="198" spans="1:6" s="12" customFormat="1">
      <c r="A198" s="465"/>
      <c r="B198" s="657" t="s">
        <v>2732</v>
      </c>
      <c r="C198" s="443" t="s">
        <v>18</v>
      </c>
      <c r="D198" s="296">
        <v>6</v>
      </c>
      <c r="E198" s="434"/>
      <c r="F198" s="434"/>
    </row>
    <row r="199" spans="1:6" s="12" customFormat="1">
      <c r="A199" s="465"/>
      <c r="B199" s="657" t="s">
        <v>2744</v>
      </c>
      <c r="C199" s="443" t="s">
        <v>18</v>
      </c>
      <c r="D199" s="296">
        <v>11</v>
      </c>
      <c r="E199" s="434"/>
      <c r="F199" s="434"/>
    </row>
    <row r="200" spans="1:6" s="12" customFormat="1">
      <c r="A200" s="465"/>
      <c r="B200" s="623"/>
      <c r="C200" s="443"/>
      <c r="D200" s="296"/>
      <c r="E200" s="434"/>
      <c r="F200" s="345"/>
    </row>
    <row r="201" spans="1:6" s="12" customFormat="1" ht="30">
      <c r="A201" s="465"/>
      <c r="B201" s="233" t="s">
        <v>2746</v>
      </c>
      <c r="C201" s="296"/>
      <c r="D201" s="296" t="s">
        <v>34</v>
      </c>
      <c r="E201" s="434"/>
      <c r="F201" s="434"/>
    </row>
    <row r="202" spans="1:6" s="12" customFormat="1">
      <c r="A202" s="232"/>
      <c r="B202" s="657" t="s">
        <v>2732</v>
      </c>
      <c r="C202" s="443" t="s">
        <v>280</v>
      </c>
      <c r="D202" s="296">
        <v>3</v>
      </c>
      <c r="E202" s="434"/>
      <c r="F202" s="434"/>
    </row>
    <row r="203" spans="1:6" s="12" customFormat="1" ht="16.899999999999999" customHeight="1">
      <c r="A203" s="232"/>
      <c r="B203" s="657" t="s">
        <v>2744</v>
      </c>
      <c r="C203" s="443" t="s">
        <v>280</v>
      </c>
      <c r="D203" s="296">
        <v>35</v>
      </c>
      <c r="E203" s="434"/>
      <c r="F203" s="434"/>
    </row>
    <row r="204" spans="1:6" s="12" customFormat="1">
      <c r="A204" s="465"/>
      <c r="B204" s="623"/>
      <c r="C204" s="443"/>
      <c r="D204" s="296"/>
      <c r="E204" s="434"/>
      <c r="F204" s="345"/>
    </row>
    <row r="205" spans="1:6" s="12" customFormat="1" ht="30">
      <c r="A205" s="465"/>
      <c r="B205" s="233" t="s">
        <v>2747</v>
      </c>
      <c r="C205" s="296"/>
      <c r="D205" s="296" t="s">
        <v>34</v>
      </c>
      <c r="E205" s="434"/>
      <c r="F205" s="434"/>
    </row>
    <row r="206" spans="1:6" s="12" customFormat="1">
      <c r="A206" s="232"/>
      <c r="B206" s="657" t="s">
        <v>2732</v>
      </c>
      <c r="C206" s="443" t="s">
        <v>280</v>
      </c>
      <c r="D206" s="296">
        <v>6</v>
      </c>
      <c r="E206" s="434"/>
      <c r="F206" s="434"/>
    </row>
    <row r="207" spans="1:6" s="12" customFormat="1">
      <c r="A207" s="232"/>
      <c r="B207" s="657" t="s">
        <v>2744</v>
      </c>
      <c r="C207" s="443" t="s">
        <v>280</v>
      </c>
      <c r="D207" s="296">
        <v>71</v>
      </c>
      <c r="E207" s="434"/>
      <c r="F207" s="434"/>
    </row>
    <row r="208" spans="1:6" s="12" customFormat="1">
      <c r="A208" s="465"/>
      <c r="B208" s="623"/>
      <c r="C208" s="443"/>
      <c r="D208" s="296"/>
      <c r="E208" s="434"/>
      <c r="F208" s="345"/>
    </row>
    <row r="209" spans="1:6" s="12" customFormat="1" ht="45">
      <c r="A209" s="683">
        <v>2</v>
      </c>
      <c r="B209" s="21" t="s">
        <v>2748</v>
      </c>
      <c r="C209" s="296"/>
      <c r="D209" s="296" t="s">
        <v>34</v>
      </c>
      <c r="E209" s="434"/>
      <c r="F209" s="434"/>
    </row>
    <row r="210" spans="1:6" s="12" customFormat="1">
      <c r="A210" s="465"/>
      <c r="B210" s="684" t="s">
        <v>2749</v>
      </c>
      <c r="C210" s="443" t="s">
        <v>18</v>
      </c>
      <c r="D210" s="296">
        <v>37</v>
      </c>
      <c r="E210" s="434"/>
      <c r="F210" s="434"/>
    </row>
    <row r="211" spans="1:6" s="12" customFormat="1">
      <c r="A211" s="465"/>
      <c r="B211" s="684" t="s">
        <v>2750</v>
      </c>
      <c r="C211" s="443" t="s">
        <v>18</v>
      </c>
      <c r="D211" s="296">
        <v>19</v>
      </c>
      <c r="E211" s="434"/>
      <c r="F211" s="434"/>
    </row>
    <row r="212" spans="1:6" s="12" customFormat="1">
      <c r="A212" s="465"/>
      <c r="B212" s="623"/>
      <c r="C212" s="443"/>
      <c r="D212" s="296"/>
      <c r="E212" s="434"/>
      <c r="F212" s="345"/>
    </row>
    <row r="213" spans="1:6" s="12" customFormat="1" ht="30">
      <c r="A213" s="685">
        <v>3</v>
      </c>
      <c r="B213" s="686" t="s">
        <v>2751</v>
      </c>
      <c r="C213" s="459" t="s">
        <v>76</v>
      </c>
      <c r="D213" s="296">
        <v>2</v>
      </c>
      <c r="E213" s="434"/>
      <c r="F213" s="434"/>
    </row>
    <row r="214" spans="1:6" s="12" customFormat="1">
      <c r="A214" s="465"/>
      <c r="B214" s="619"/>
      <c r="C214" s="459"/>
      <c r="D214" s="296"/>
      <c r="E214" s="434"/>
      <c r="F214" s="345"/>
    </row>
    <row r="215" spans="1:6" s="12" customFormat="1" ht="90">
      <c r="A215" s="663">
        <v>4</v>
      </c>
      <c r="B215" s="664" t="s">
        <v>2752</v>
      </c>
      <c r="C215" s="459" t="s">
        <v>76</v>
      </c>
      <c r="D215" s="296">
        <v>3</v>
      </c>
      <c r="E215" s="665"/>
      <c r="F215" s="665"/>
    </row>
    <row r="216" spans="1:6" s="12" customFormat="1">
      <c r="A216" s="663"/>
      <c r="B216" s="664"/>
      <c r="C216" s="459"/>
      <c r="D216" s="296"/>
      <c r="E216" s="665"/>
      <c r="F216" s="665"/>
    </row>
    <row r="217" spans="1:6" s="12" customFormat="1" ht="60">
      <c r="A217" s="687">
        <v>5</v>
      </c>
      <c r="B217" s="688" t="s">
        <v>2753</v>
      </c>
      <c r="C217" s="443" t="s">
        <v>76</v>
      </c>
      <c r="D217" s="296">
        <v>1</v>
      </c>
      <c r="E217" s="434"/>
      <c r="F217" s="434"/>
    </row>
    <row r="218" spans="1:6" s="12" customFormat="1">
      <c r="A218" s="465"/>
      <c r="B218" s="623"/>
      <c r="C218" s="443"/>
      <c r="D218" s="296"/>
      <c r="E218" s="434"/>
      <c r="F218" s="345"/>
    </row>
    <row r="219" spans="1:6" s="12" customFormat="1">
      <c r="A219" s="432" t="s">
        <v>2887</v>
      </c>
      <c r="B219" s="433" t="s">
        <v>278</v>
      </c>
      <c r="C219" s="436"/>
      <c r="D219" s="436" t="s">
        <v>34</v>
      </c>
      <c r="E219" s="437"/>
      <c r="F219" s="434"/>
    </row>
    <row r="220" spans="1:6" s="12" customFormat="1">
      <c r="A220" s="432"/>
      <c r="B220" s="433"/>
      <c r="C220" s="436"/>
      <c r="D220" s="436"/>
      <c r="E220" s="437"/>
      <c r="F220" s="434"/>
    </row>
    <row r="221" spans="1:6" s="12" customFormat="1">
      <c r="A221" s="432"/>
      <c r="B221" s="433"/>
      <c r="C221" s="436"/>
      <c r="D221" s="436"/>
      <c r="E221" s="437"/>
      <c r="F221" s="434"/>
    </row>
    <row r="222" spans="1:6" s="12" customFormat="1">
      <c r="A222" s="232"/>
      <c r="B222" s="233"/>
      <c r="C222" s="296"/>
      <c r="D222" s="296"/>
      <c r="E222" s="434"/>
      <c r="F222" s="434"/>
    </row>
    <row r="223" spans="1:6" s="12" customFormat="1">
      <c r="A223" s="499" t="s">
        <v>2888</v>
      </c>
      <c r="B223" s="433" t="s">
        <v>2754</v>
      </c>
      <c r="C223" s="436"/>
      <c r="D223" s="436" t="s">
        <v>34</v>
      </c>
      <c r="E223" s="437"/>
      <c r="F223" s="434"/>
    </row>
    <row r="224" spans="1:6" s="12" customFormat="1">
      <c r="A224" s="232"/>
      <c r="B224" s="233"/>
      <c r="C224" s="296"/>
      <c r="D224" s="296" t="s">
        <v>34</v>
      </c>
      <c r="E224" s="434"/>
      <c r="F224" s="434"/>
    </row>
    <row r="225" spans="1:6" s="12" customFormat="1" ht="75">
      <c r="A225" s="689">
        <v>1</v>
      </c>
      <c r="B225" s="690" t="s">
        <v>2755</v>
      </c>
      <c r="C225" s="443" t="s">
        <v>76</v>
      </c>
      <c r="D225" s="296">
        <v>1</v>
      </c>
      <c r="E225" s="434"/>
      <c r="F225" s="434"/>
    </row>
    <row r="226" spans="1:6" s="12" customFormat="1">
      <c r="A226" s="465"/>
      <c r="B226" s="233"/>
      <c r="C226" s="296"/>
      <c r="D226" s="296" t="s">
        <v>34</v>
      </c>
      <c r="E226" s="434"/>
      <c r="F226" s="434"/>
    </row>
    <row r="227" spans="1:6" s="12" customFormat="1">
      <c r="A227" s="432" t="s">
        <v>2888</v>
      </c>
      <c r="B227" s="433" t="s">
        <v>278</v>
      </c>
      <c r="C227" s="436"/>
      <c r="D227" s="436" t="s">
        <v>34</v>
      </c>
      <c r="E227" s="437"/>
      <c r="F227" s="434"/>
    </row>
    <row r="228" spans="1:6" s="12" customFormat="1">
      <c r="A228" s="432"/>
      <c r="B228" s="433"/>
      <c r="C228" s="436"/>
      <c r="D228" s="436"/>
      <c r="E228" s="437"/>
      <c r="F228" s="434"/>
    </row>
    <row r="229" spans="1:6" s="12" customFormat="1">
      <c r="A229" s="432"/>
      <c r="B229" s="433"/>
      <c r="C229" s="436"/>
      <c r="D229" s="436"/>
      <c r="E229" s="437"/>
      <c r="F229" s="434"/>
    </row>
    <row r="230" spans="1:6" s="12" customFormat="1">
      <c r="A230" s="232"/>
      <c r="B230" s="233"/>
      <c r="C230" s="296"/>
      <c r="D230" s="296"/>
      <c r="E230" s="434"/>
      <c r="F230" s="434"/>
    </row>
    <row r="231" spans="1:6" s="12" customFormat="1">
      <c r="A231" s="432" t="s">
        <v>2797</v>
      </c>
      <c r="B231" s="448" t="s">
        <v>2756</v>
      </c>
      <c r="C231" s="449"/>
      <c r="D231" s="436"/>
      <c r="E231" s="437"/>
      <c r="F231" s="434"/>
    </row>
    <row r="232" spans="1:6" s="12" customFormat="1">
      <c r="A232" s="232"/>
      <c r="B232" s="657"/>
      <c r="C232" s="443"/>
      <c r="D232" s="296"/>
      <c r="E232" s="434"/>
      <c r="F232" s="434"/>
    </row>
    <row r="233" spans="1:6" s="12" customFormat="1">
      <c r="A233" s="432" t="s">
        <v>2799</v>
      </c>
      <c r="B233" s="448" t="s">
        <v>2758</v>
      </c>
      <c r="C233" s="449"/>
      <c r="D233" s="436"/>
      <c r="E233" s="437"/>
      <c r="F233" s="434"/>
    </row>
    <row r="234" spans="1:6" s="12" customFormat="1">
      <c r="A234" s="232"/>
      <c r="B234" s="657"/>
      <c r="C234" s="443"/>
      <c r="D234" s="296"/>
      <c r="E234" s="434"/>
      <c r="F234" s="434"/>
    </row>
    <row r="235" spans="1:6" s="12" customFormat="1" ht="75">
      <c r="A235" s="691">
        <v>1</v>
      </c>
      <c r="B235" s="657" t="s">
        <v>2759</v>
      </c>
      <c r="C235" s="443"/>
      <c r="D235" s="296"/>
      <c r="E235" s="434"/>
      <c r="F235" s="434"/>
    </row>
    <row r="236" spans="1:6" s="12" customFormat="1" ht="17.25">
      <c r="A236" s="692"/>
      <c r="B236" s="462" t="s">
        <v>2760</v>
      </c>
      <c r="C236" s="459" t="s">
        <v>3409</v>
      </c>
      <c r="D236" s="296">
        <v>8</v>
      </c>
      <c r="E236" s="434"/>
      <c r="F236" s="434"/>
    </row>
    <row r="237" spans="1:6" s="12" customFormat="1" ht="17.25">
      <c r="A237" s="692"/>
      <c r="B237" s="462" t="s">
        <v>2761</v>
      </c>
      <c r="C237" s="459" t="s">
        <v>3409</v>
      </c>
      <c r="D237" s="296">
        <v>26</v>
      </c>
      <c r="E237" s="434"/>
      <c r="F237" s="434"/>
    </row>
    <row r="238" spans="1:6" s="12" customFormat="1">
      <c r="A238" s="232"/>
      <c r="B238" s="462"/>
      <c r="C238" s="459"/>
      <c r="D238" s="296"/>
      <c r="E238" s="434"/>
      <c r="F238" s="434"/>
    </row>
    <row r="239" spans="1:6" s="12" customFormat="1" ht="30">
      <c r="A239" s="663">
        <v>2</v>
      </c>
      <c r="B239" s="462" t="s">
        <v>2762</v>
      </c>
      <c r="C239" s="459"/>
      <c r="D239" s="296"/>
      <c r="E239" s="434"/>
      <c r="F239" s="434"/>
    </row>
    <row r="240" spans="1:6" s="12" customFormat="1" ht="18" customHeight="1">
      <c r="A240" s="692"/>
      <c r="B240" s="462" t="s">
        <v>2763</v>
      </c>
      <c r="C240" s="459" t="s">
        <v>3409</v>
      </c>
      <c r="D240" s="296">
        <v>38</v>
      </c>
      <c r="E240" s="434"/>
      <c r="F240" s="434"/>
    </row>
    <row r="241" spans="1:6" s="12" customFormat="1">
      <c r="A241" s="232"/>
      <c r="B241" s="657"/>
      <c r="C241" s="443"/>
      <c r="D241" s="296"/>
      <c r="E241" s="434"/>
      <c r="F241" s="434"/>
    </row>
    <row r="242" spans="1:6" s="12" customFormat="1">
      <c r="A242" s="432" t="s">
        <v>2799</v>
      </c>
      <c r="B242" s="433" t="s">
        <v>278</v>
      </c>
      <c r="C242" s="436"/>
      <c r="D242" s="436" t="s">
        <v>34</v>
      </c>
      <c r="E242" s="437"/>
      <c r="F242" s="434"/>
    </row>
    <row r="243" spans="1:6" s="12" customFormat="1">
      <c r="A243" s="232"/>
      <c r="B243" s="657"/>
      <c r="C243" s="443"/>
      <c r="D243" s="296"/>
      <c r="E243" s="434"/>
      <c r="F243" s="434"/>
    </row>
    <row r="244" spans="1:6" s="12" customFormat="1">
      <c r="A244" s="432" t="s">
        <v>2803</v>
      </c>
      <c r="B244" s="448" t="s">
        <v>2765</v>
      </c>
      <c r="C244" s="449"/>
      <c r="D244" s="436"/>
      <c r="E244" s="437"/>
      <c r="F244" s="434"/>
    </row>
    <row r="245" spans="1:6" s="12" customFormat="1">
      <c r="A245" s="232"/>
      <c r="B245" s="657"/>
      <c r="C245" s="443"/>
      <c r="D245" s="296"/>
      <c r="E245" s="434"/>
      <c r="F245" s="434"/>
    </row>
    <row r="246" spans="1:6" s="12" customFormat="1" ht="104.45" customHeight="1">
      <c r="A246" s="691">
        <v>1</v>
      </c>
      <c r="B246" s="657" t="s">
        <v>2893</v>
      </c>
      <c r="C246" s="443"/>
      <c r="D246" s="296"/>
      <c r="E246" s="434"/>
      <c r="F246" s="434"/>
    </row>
    <row r="247" spans="1:6" s="12" customFormat="1" ht="30">
      <c r="A247" s="232"/>
      <c r="B247" s="657" t="s">
        <v>2766</v>
      </c>
      <c r="C247" s="443"/>
      <c r="D247" s="296"/>
      <c r="E247" s="434"/>
      <c r="F247" s="434"/>
    </row>
    <row r="248" spans="1:6" s="12" customFormat="1">
      <c r="A248" s="232"/>
      <c r="B248" s="462" t="s">
        <v>2732</v>
      </c>
      <c r="C248" s="459" t="s">
        <v>280</v>
      </c>
      <c r="D248" s="296">
        <v>65</v>
      </c>
      <c r="E248" s="434"/>
      <c r="F248" s="434"/>
    </row>
    <row r="249" spans="1:6" s="12" customFormat="1">
      <c r="A249" s="232"/>
      <c r="B249" s="462" t="s">
        <v>2715</v>
      </c>
      <c r="C249" s="459" t="s">
        <v>280</v>
      </c>
      <c r="D249" s="296">
        <v>2</v>
      </c>
      <c r="E249" s="434"/>
      <c r="F249" s="434"/>
    </row>
    <row r="250" spans="1:6" s="12" customFormat="1">
      <c r="A250" s="232"/>
      <c r="B250" s="657"/>
      <c r="C250" s="443"/>
      <c r="D250" s="296"/>
      <c r="E250" s="434"/>
      <c r="F250" s="434"/>
    </row>
    <row r="251" spans="1:6" s="12" customFormat="1" ht="30">
      <c r="A251" s="232"/>
      <c r="B251" s="657" t="s">
        <v>2767</v>
      </c>
      <c r="C251" s="443"/>
      <c r="D251" s="296"/>
      <c r="E251" s="434"/>
      <c r="F251" s="434"/>
    </row>
    <row r="252" spans="1:6" s="12" customFormat="1" ht="15.6" customHeight="1">
      <c r="A252" s="232"/>
      <c r="B252" s="462" t="s">
        <v>2732</v>
      </c>
      <c r="C252" s="459" t="s">
        <v>18</v>
      </c>
      <c r="D252" s="296">
        <v>44</v>
      </c>
      <c r="E252" s="434"/>
      <c r="F252" s="434"/>
    </row>
    <row r="253" spans="1:6" s="12" customFormat="1" ht="15.6" customHeight="1">
      <c r="A253" s="232"/>
      <c r="B253" s="462" t="s">
        <v>2715</v>
      </c>
      <c r="C253" s="459" t="s">
        <v>18</v>
      </c>
      <c r="D253" s="296">
        <v>4</v>
      </c>
      <c r="E253" s="434"/>
      <c r="F253" s="434"/>
    </row>
    <row r="254" spans="1:6" s="12" customFormat="1">
      <c r="A254" s="232"/>
      <c r="B254" s="657"/>
      <c r="C254" s="443"/>
      <c r="D254" s="296"/>
      <c r="E254" s="434"/>
      <c r="F254" s="434"/>
    </row>
    <row r="255" spans="1:6" s="12" customFormat="1" ht="76.150000000000006" customHeight="1">
      <c r="A255" s="691">
        <v>2</v>
      </c>
      <c r="B255" s="657" t="s">
        <v>2768</v>
      </c>
      <c r="C255" s="443"/>
      <c r="D255" s="296"/>
      <c r="E255" s="434"/>
      <c r="F255" s="434"/>
    </row>
    <row r="256" spans="1:6" s="12" customFormat="1">
      <c r="A256" s="232"/>
      <c r="B256" s="693" t="s">
        <v>2769</v>
      </c>
      <c r="C256" s="443" t="s">
        <v>280</v>
      </c>
      <c r="D256" s="296">
        <f>D248+D252</f>
        <v>109</v>
      </c>
      <c r="E256" s="434"/>
      <c r="F256" s="434"/>
    </row>
    <row r="257" spans="1:6" s="12" customFormat="1">
      <c r="A257" s="232"/>
      <c r="B257" s="657"/>
      <c r="C257" s="443"/>
      <c r="D257" s="296"/>
      <c r="E257" s="434"/>
      <c r="F257" s="434"/>
    </row>
    <row r="258" spans="1:6" s="12" customFormat="1" ht="75">
      <c r="A258" s="691">
        <v>3</v>
      </c>
      <c r="B258" s="657" t="s">
        <v>2770</v>
      </c>
      <c r="C258" s="443"/>
      <c r="D258" s="296"/>
      <c r="E258" s="434"/>
      <c r="F258" s="434"/>
    </row>
    <row r="259" spans="1:6" s="12" customFormat="1">
      <c r="A259" s="232"/>
      <c r="B259" s="657" t="s">
        <v>2771</v>
      </c>
      <c r="C259" s="443"/>
      <c r="D259" s="296"/>
      <c r="E259" s="434"/>
      <c r="F259" s="434"/>
    </row>
    <row r="260" spans="1:6" s="12" customFormat="1">
      <c r="A260" s="232"/>
      <c r="B260" s="657" t="s">
        <v>2732</v>
      </c>
      <c r="C260" s="443" t="s">
        <v>280</v>
      </c>
      <c r="D260" s="296">
        <v>15</v>
      </c>
      <c r="E260" s="434"/>
      <c r="F260" s="434"/>
    </row>
    <row r="261" spans="1:6" s="12" customFormat="1">
      <c r="A261" s="232"/>
      <c r="B261" s="657" t="s">
        <v>2772</v>
      </c>
      <c r="C261" s="443" t="s">
        <v>280</v>
      </c>
      <c r="D261" s="296">
        <v>42</v>
      </c>
      <c r="E261" s="434"/>
      <c r="F261" s="434"/>
    </row>
    <row r="262" spans="1:6" s="12" customFormat="1">
      <c r="A262" s="232"/>
      <c r="B262" s="657"/>
      <c r="C262" s="443"/>
      <c r="D262" s="296"/>
      <c r="E262" s="434"/>
      <c r="F262" s="434"/>
    </row>
    <row r="263" spans="1:6" s="12" customFormat="1">
      <c r="A263" s="232"/>
      <c r="B263" s="657" t="s">
        <v>2773</v>
      </c>
      <c r="C263" s="443"/>
      <c r="D263" s="296"/>
      <c r="E263" s="434"/>
      <c r="F263" s="434"/>
    </row>
    <row r="264" spans="1:6" s="12" customFormat="1">
      <c r="A264" s="232"/>
      <c r="B264" s="657" t="s">
        <v>2732</v>
      </c>
      <c r="C264" s="443" t="s">
        <v>18</v>
      </c>
      <c r="D264" s="296">
        <v>26</v>
      </c>
      <c r="E264" s="434"/>
      <c r="F264" s="434"/>
    </row>
    <row r="265" spans="1:6" s="12" customFormat="1">
      <c r="A265" s="232"/>
      <c r="B265" s="657" t="s">
        <v>2772</v>
      </c>
      <c r="C265" s="443" t="s">
        <v>18</v>
      </c>
      <c r="D265" s="296">
        <v>78</v>
      </c>
      <c r="E265" s="434"/>
      <c r="F265" s="434"/>
    </row>
    <row r="266" spans="1:6" s="12" customFormat="1">
      <c r="A266" s="232"/>
      <c r="B266" s="657"/>
      <c r="C266" s="443"/>
      <c r="D266" s="296"/>
      <c r="E266" s="434"/>
      <c r="F266" s="345"/>
    </row>
    <row r="267" spans="1:6" s="12" customFormat="1" ht="118.15" customHeight="1">
      <c r="A267" s="663">
        <v>4</v>
      </c>
      <c r="B267" s="462" t="s">
        <v>2774</v>
      </c>
      <c r="C267" s="459"/>
      <c r="D267" s="296"/>
      <c r="E267" s="434"/>
      <c r="F267" s="434"/>
    </row>
    <row r="268" spans="1:6" s="12" customFormat="1">
      <c r="A268" s="232"/>
      <c r="B268" s="462" t="s">
        <v>2771</v>
      </c>
      <c r="C268" s="459"/>
      <c r="D268" s="296"/>
      <c r="E268" s="434"/>
      <c r="F268" s="434"/>
    </row>
    <row r="269" spans="1:6" s="12" customFormat="1">
      <c r="A269" s="232"/>
      <c r="B269" s="462" t="s">
        <v>2775</v>
      </c>
      <c r="C269" s="459" t="s">
        <v>280</v>
      </c>
      <c r="D269" s="296">
        <v>175</v>
      </c>
      <c r="E269" s="434"/>
      <c r="F269" s="434"/>
    </row>
    <row r="270" spans="1:6" s="12" customFormat="1">
      <c r="A270" s="232"/>
      <c r="B270" s="462" t="s">
        <v>2776</v>
      </c>
      <c r="C270" s="459" t="s">
        <v>280</v>
      </c>
      <c r="D270" s="296">
        <v>12</v>
      </c>
      <c r="E270" s="434"/>
      <c r="F270" s="434"/>
    </row>
    <row r="271" spans="1:6" s="12" customFormat="1">
      <c r="A271" s="232"/>
      <c r="B271" s="462"/>
      <c r="C271" s="459"/>
      <c r="D271" s="296"/>
      <c r="E271" s="434"/>
      <c r="F271" s="434"/>
    </row>
    <row r="272" spans="1:6" s="12" customFormat="1">
      <c r="A272" s="232"/>
      <c r="B272" s="462" t="s">
        <v>2773</v>
      </c>
      <c r="C272" s="459"/>
      <c r="D272" s="296"/>
      <c r="E272" s="434"/>
      <c r="F272" s="434"/>
    </row>
    <row r="273" spans="1:6" s="12" customFormat="1">
      <c r="A273" s="232"/>
      <c r="B273" s="462" t="s">
        <v>2775</v>
      </c>
      <c r="C273" s="459" t="s">
        <v>18</v>
      </c>
      <c r="D273" s="296">
        <v>38</v>
      </c>
      <c r="E273" s="434"/>
      <c r="F273" s="434"/>
    </row>
    <row r="274" spans="1:6" s="12" customFormat="1">
      <c r="A274" s="232"/>
      <c r="B274" s="462" t="s">
        <v>2776</v>
      </c>
      <c r="C274" s="459" t="s">
        <v>18</v>
      </c>
      <c r="D274" s="296">
        <v>8</v>
      </c>
      <c r="E274" s="434"/>
      <c r="F274" s="434"/>
    </row>
    <row r="275" spans="1:6" s="12" customFormat="1">
      <c r="A275" s="232"/>
      <c r="B275" s="462"/>
      <c r="C275" s="459"/>
      <c r="D275" s="296"/>
      <c r="E275" s="434"/>
      <c r="F275" s="345"/>
    </row>
    <row r="276" spans="1:6" s="12" customFormat="1" ht="160.15" customHeight="1">
      <c r="A276" s="663">
        <v>5</v>
      </c>
      <c r="B276" s="462" t="s">
        <v>2777</v>
      </c>
      <c r="C276" s="459"/>
      <c r="D276" s="296"/>
      <c r="E276" s="434"/>
      <c r="F276" s="434"/>
    </row>
    <row r="277" spans="1:6" s="12" customFormat="1">
      <c r="A277" s="232"/>
      <c r="B277" s="693" t="s">
        <v>2778</v>
      </c>
      <c r="C277" s="459" t="s">
        <v>280</v>
      </c>
      <c r="D277" s="296">
        <v>103</v>
      </c>
      <c r="E277" s="434"/>
      <c r="F277" s="434"/>
    </row>
    <row r="278" spans="1:6" s="12" customFormat="1">
      <c r="A278" s="232"/>
      <c r="B278" s="693" t="s">
        <v>2779</v>
      </c>
      <c r="C278" s="459" t="s">
        <v>280</v>
      </c>
      <c r="D278" s="296">
        <v>10</v>
      </c>
      <c r="E278" s="434"/>
      <c r="F278" s="434"/>
    </row>
    <row r="279" spans="1:6" s="12" customFormat="1">
      <c r="A279" s="232"/>
      <c r="B279" s="693"/>
      <c r="C279" s="459"/>
      <c r="D279" s="296"/>
      <c r="E279" s="434"/>
      <c r="F279" s="434"/>
    </row>
    <row r="280" spans="1:6" s="12" customFormat="1" ht="76.150000000000006" customHeight="1">
      <c r="A280" s="691">
        <v>6</v>
      </c>
      <c r="B280" s="657" t="s">
        <v>2780</v>
      </c>
      <c r="C280" s="443"/>
      <c r="D280" s="296"/>
      <c r="E280" s="434"/>
      <c r="F280" s="434"/>
    </row>
    <row r="281" spans="1:6" s="12" customFormat="1">
      <c r="A281" s="232"/>
      <c r="B281" s="693" t="s">
        <v>2778</v>
      </c>
      <c r="C281" s="443" t="s">
        <v>280</v>
      </c>
      <c r="D281" s="296">
        <v>75</v>
      </c>
      <c r="E281" s="434"/>
      <c r="F281" s="434"/>
    </row>
    <row r="282" spans="1:6" s="12" customFormat="1">
      <c r="A282" s="232"/>
      <c r="B282" s="693"/>
      <c r="C282" s="443"/>
      <c r="D282" s="296"/>
      <c r="E282" s="434"/>
      <c r="F282" s="434"/>
    </row>
    <row r="283" spans="1:6" s="12" customFormat="1" ht="45">
      <c r="A283" s="691">
        <v>7</v>
      </c>
      <c r="B283" s="657" t="s">
        <v>2781</v>
      </c>
      <c r="C283" s="443"/>
      <c r="D283" s="296"/>
      <c r="E283" s="434"/>
      <c r="F283" s="434"/>
    </row>
    <row r="284" spans="1:6" s="12" customFormat="1">
      <c r="A284" s="232"/>
      <c r="B284" s="657" t="s">
        <v>2782</v>
      </c>
      <c r="C284" s="443" t="s">
        <v>18</v>
      </c>
      <c r="D284" s="296">
        <v>10</v>
      </c>
      <c r="E284" s="434"/>
      <c r="F284" s="434"/>
    </row>
    <row r="285" spans="1:6" s="12" customFormat="1">
      <c r="A285" s="232"/>
      <c r="B285" s="657"/>
      <c r="C285" s="443"/>
      <c r="D285" s="296"/>
      <c r="E285" s="434"/>
      <c r="F285" s="434"/>
    </row>
    <row r="286" spans="1:6" s="12" customFormat="1" ht="60">
      <c r="A286" s="691">
        <v>8</v>
      </c>
      <c r="B286" s="657" t="s">
        <v>2783</v>
      </c>
      <c r="C286" s="443"/>
      <c r="D286" s="296"/>
      <c r="E286" s="434"/>
      <c r="F286" s="434"/>
    </row>
    <row r="287" spans="1:6" s="12" customFormat="1">
      <c r="A287" s="232"/>
      <c r="B287" s="657" t="s">
        <v>2784</v>
      </c>
      <c r="C287" s="443" t="s">
        <v>18</v>
      </c>
      <c r="D287" s="296">
        <v>10</v>
      </c>
      <c r="E287" s="434"/>
      <c r="F287" s="434"/>
    </row>
    <row r="288" spans="1:6" s="12" customFormat="1">
      <c r="A288" s="232"/>
      <c r="B288" s="657"/>
      <c r="C288" s="443"/>
      <c r="D288" s="296"/>
      <c r="E288" s="434"/>
      <c r="F288" s="434"/>
    </row>
    <row r="289" spans="1:6" s="12" customFormat="1" ht="30">
      <c r="A289" s="691">
        <v>9</v>
      </c>
      <c r="B289" s="657" t="s">
        <v>2785</v>
      </c>
      <c r="C289" s="443"/>
      <c r="D289" s="296"/>
      <c r="E289" s="434"/>
      <c r="F289" s="434"/>
    </row>
    <row r="290" spans="1:6" s="12" customFormat="1">
      <c r="A290" s="232"/>
      <c r="B290" s="657" t="s">
        <v>2786</v>
      </c>
      <c r="C290" s="443" t="s">
        <v>18</v>
      </c>
      <c r="D290" s="296">
        <v>10</v>
      </c>
      <c r="E290" s="434"/>
      <c r="F290" s="434"/>
    </row>
    <row r="291" spans="1:6" s="12" customFormat="1">
      <c r="A291" s="232"/>
      <c r="B291" s="657"/>
      <c r="C291" s="443"/>
      <c r="D291" s="296"/>
      <c r="E291" s="434"/>
      <c r="F291" s="434"/>
    </row>
    <row r="292" spans="1:6" s="12" customFormat="1" ht="90">
      <c r="A292" s="691">
        <v>10</v>
      </c>
      <c r="B292" s="657" t="s">
        <v>3410</v>
      </c>
      <c r="C292" s="443" t="s">
        <v>18</v>
      </c>
      <c r="D292" s="296">
        <v>11</v>
      </c>
      <c r="E292" s="434"/>
      <c r="F292" s="434"/>
    </row>
    <row r="293" spans="1:6" s="12" customFormat="1">
      <c r="A293" s="232"/>
      <c r="B293" s="657"/>
      <c r="C293" s="443"/>
      <c r="D293" s="296"/>
      <c r="E293" s="434"/>
      <c r="F293" s="434"/>
    </row>
    <row r="294" spans="1:6" s="12" customFormat="1" ht="45" customHeight="1">
      <c r="A294" s="691">
        <v>11</v>
      </c>
      <c r="B294" s="657" t="s">
        <v>2787</v>
      </c>
      <c r="C294" s="443"/>
      <c r="D294" s="296"/>
      <c r="E294" s="434"/>
      <c r="F294" s="434"/>
    </row>
    <row r="295" spans="1:6" s="12" customFormat="1">
      <c r="A295" s="691"/>
      <c r="B295" s="657" t="s">
        <v>2788</v>
      </c>
      <c r="C295" s="443" t="s">
        <v>18</v>
      </c>
      <c r="D295" s="296">
        <v>3</v>
      </c>
      <c r="E295" s="434"/>
      <c r="F295" s="434"/>
    </row>
    <row r="296" spans="1:6" s="12" customFormat="1">
      <c r="A296" s="232"/>
      <c r="B296" s="657"/>
      <c r="C296" s="443"/>
      <c r="D296" s="296"/>
      <c r="E296" s="434"/>
      <c r="F296" s="345"/>
    </row>
    <row r="297" spans="1:6" s="12" customFormat="1" ht="30.6" customHeight="1">
      <c r="A297" s="691">
        <v>12</v>
      </c>
      <c r="B297" s="657" t="s">
        <v>2789</v>
      </c>
      <c r="C297" s="443" t="s">
        <v>18</v>
      </c>
      <c r="D297" s="296">
        <v>9</v>
      </c>
      <c r="E297" s="434"/>
      <c r="F297" s="434"/>
    </row>
    <row r="298" spans="1:6" s="12" customFormat="1">
      <c r="A298" s="232"/>
      <c r="B298" s="657"/>
      <c r="C298" s="443"/>
      <c r="D298" s="296"/>
      <c r="E298" s="434"/>
      <c r="F298" s="345"/>
    </row>
    <row r="299" spans="1:6" s="12" customFormat="1" ht="45">
      <c r="A299" s="691">
        <v>13</v>
      </c>
      <c r="B299" s="657" t="s">
        <v>2790</v>
      </c>
      <c r="C299" s="443" t="s">
        <v>18</v>
      </c>
      <c r="D299" s="296">
        <v>38</v>
      </c>
      <c r="E299" s="434"/>
      <c r="F299" s="434"/>
    </row>
    <row r="300" spans="1:6" s="12" customFormat="1">
      <c r="A300" s="663"/>
      <c r="B300" s="462"/>
      <c r="C300" s="459"/>
      <c r="D300" s="296"/>
      <c r="E300" s="434"/>
      <c r="F300" s="434"/>
    </row>
    <row r="301" spans="1:6" s="12" customFormat="1" ht="75" customHeight="1">
      <c r="A301" s="691">
        <v>14</v>
      </c>
      <c r="B301" s="657" t="s">
        <v>2791</v>
      </c>
      <c r="C301" s="443" t="s">
        <v>76</v>
      </c>
      <c r="D301" s="296">
        <v>16</v>
      </c>
      <c r="E301" s="434"/>
      <c r="F301" s="434"/>
    </row>
    <row r="302" spans="1:6" s="12" customFormat="1">
      <c r="A302" s="691"/>
      <c r="B302" s="657"/>
      <c r="C302" s="443"/>
      <c r="D302" s="296"/>
      <c r="E302" s="434"/>
      <c r="F302" s="434"/>
    </row>
    <row r="303" spans="1:6" s="12" customFormat="1" ht="30">
      <c r="A303" s="663">
        <v>15</v>
      </c>
      <c r="B303" s="462" t="s">
        <v>2792</v>
      </c>
      <c r="C303" s="459"/>
      <c r="D303" s="296"/>
      <c r="E303" s="434"/>
      <c r="F303" s="434"/>
    </row>
    <row r="304" spans="1:6" s="12" customFormat="1">
      <c r="A304" s="663"/>
      <c r="B304" s="462" t="s">
        <v>2793</v>
      </c>
      <c r="C304" s="459" t="s">
        <v>18</v>
      </c>
      <c r="D304" s="296">
        <v>1</v>
      </c>
      <c r="E304" s="434"/>
      <c r="F304" s="434"/>
    </row>
    <row r="305" spans="1:6" s="12" customFormat="1">
      <c r="A305" s="663"/>
      <c r="B305" s="462"/>
      <c r="C305" s="459"/>
      <c r="D305" s="296"/>
      <c r="E305" s="434"/>
      <c r="F305" s="434"/>
    </row>
    <row r="306" spans="1:6" s="12" customFormat="1" ht="45">
      <c r="A306" s="691">
        <v>16</v>
      </c>
      <c r="B306" s="657" t="s">
        <v>2794</v>
      </c>
      <c r="C306" s="443" t="s">
        <v>76</v>
      </c>
      <c r="D306" s="296">
        <v>1</v>
      </c>
      <c r="E306" s="434"/>
      <c r="F306" s="434"/>
    </row>
    <row r="307" spans="1:6" s="12" customFormat="1">
      <c r="A307" s="691"/>
      <c r="B307" s="657"/>
      <c r="C307" s="443"/>
      <c r="D307" s="296"/>
      <c r="E307" s="434"/>
      <c r="F307" s="434"/>
    </row>
    <row r="308" spans="1:6" s="12" customFormat="1">
      <c r="A308" s="432" t="s">
        <v>2803</v>
      </c>
      <c r="B308" s="433" t="s">
        <v>278</v>
      </c>
      <c r="C308" s="436"/>
      <c r="D308" s="436" t="s">
        <v>34</v>
      </c>
      <c r="E308" s="437"/>
      <c r="F308" s="434"/>
    </row>
    <row r="309" spans="1:6" s="12" customFormat="1">
      <c r="A309" s="432"/>
      <c r="B309" s="433"/>
      <c r="C309" s="436"/>
      <c r="D309" s="436"/>
      <c r="E309" s="437"/>
      <c r="F309" s="434"/>
    </row>
    <row r="310" spans="1:6" s="12" customFormat="1">
      <c r="A310" s="432"/>
      <c r="B310" s="433"/>
      <c r="C310" s="436"/>
      <c r="D310" s="436"/>
      <c r="E310" s="437"/>
      <c r="F310" s="434"/>
    </row>
    <row r="311" spans="1:6" s="12" customFormat="1">
      <c r="A311" s="691"/>
      <c r="B311" s="657"/>
      <c r="C311" s="443"/>
      <c r="D311" s="296"/>
      <c r="E311" s="434"/>
      <c r="F311" s="434"/>
    </row>
    <row r="312" spans="1:6" s="12" customFormat="1">
      <c r="A312" s="447" t="s">
        <v>2848</v>
      </c>
      <c r="B312" s="448" t="s">
        <v>2754</v>
      </c>
      <c r="C312" s="449"/>
      <c r="D312" s="436"/>
      <c r="E312" s="437"/>
      <c r="F312" s="434"/>
    </row>
    <row r="313" spans="1:6" s="12" customFormat="1">
      <c r="A313" s="691"/>
      <c r="B313" s="657"/>
      <c r="C313" s="443"/>
      <c r="D313" s="296"/>
      <c r="E313" s="434"/>
      <c r="F313" s="434"/>
    </row>
    <row r="314" spans="1:6" s="12" customFormat="1" ht="75">
      <c r="A314" s="691">
        <v>1</v>
      </c>
      <c r="B314" s="657" t="s">
        <v>2796</v>
      </c>
      <c r="C314" s="443" t="s">
        <v>76</v>
      </c>
      <c r="D314" s="296">
        <v>1</v>
      </c>
      <c r="E314" s="434"/>
      <c r="F314" s="434"/>
    </row>
    <row r="315" spans="1:6" s="12" customFormat="1">
      <c r="A315" s="691"/>
      <c r="B315" s="657"/>
      <c r="C315" s="443"/>
      <c r="D315" s="296"/>
      <c r="E315" s="434"/>
      <c r="F315" s="434"/>
    </row>
    <row r="316" spans="1:6" s="12" customFormat="1">
      <c r="A316" s="432" t="s">
        <v>2848</v>
      </c>
      <c r="B316" s="433" t="s">
        <v>278</v>
      </c>
      <c r="C316" s="436"/>
      <c r="D316" s="436" t="s">
        <v>34</v>
      </c>
      <c r="E316" s="437"/>
      <c r="F316" s="434"/>
    </row>
    <row r="317" spans="1:6" s="12" customFormat="1">
      <c r="A317" s="432"/>
      <c r="B317" s="433"/>
      <c r="C317" s="436"/>
      <c r="D317" s="436"/>
      <c r="E317" s="437"/>
      <c r="F317" s="434"/>
    </row>
    <row r="318" spans="1:6" s="12" customFormat="1">
      <c r="A318" s="432"/>
      <c r="B318" s="433"/>
      <c r="C318" s="436"/>
      <c r="D318" s="436"/>
      <c r="E318" s="437"/>
      <c r="F318" s="434"/>
    </row>
    <row r="319" spans="1:6" s="12" customFormat="1">
      <c r="A319" s="232"/>
      <c r="B319" s="233"/>
      <c r="C319" s="296"/>
      <c r="D319" s="296"/>
      <c r="E319" s="434"/>
      <c r="F319" s="434"/>
    </row>
    <row r="320" spans="1:6" s="12" customFormat="1">
      <c r="A320" s="499" t="s">
        <v>2849</v>
      </c>
      <c r="B320" s="694" t="s">
        <v>2798</v>
      </c>
      <c r="C320" s="449"/>
      <c r="D320" s="436"/>
      <c r="E320" s="567"/>
    </row>
    <row r="321" spans="1:6" s="12" customFormat="1">
      <c r="A321" s="465"/>
      <c r="B321" s="690"/>
      <c r="C321" s="443"/>
      <c r="D321" s="296"/>
    </row>
    <row r="322" spans="1:6" s="12" customFormat="1">
      <c r="A322" s="499" t="s">
        <v>2889</v>
      </c>
      <c r="B322" s="694" t="s">
        <v>2800</v>
      </c>
      <c r="C322" s="443"/>
      <c r="D322" s="296"/>
    </row>
    <row r="323" spans="1:6" s="12" customFormat="1">
      <c r="A323" s="465"/>
      <c r="B323" s="690"/>
      <c r="C323" s="443"/>
      <c r="D323" s="296"/>
    </row>
    <row r="324" spans="1:6" s="12" customFormat="1" ht="75">
      <c r="A324" s="691">
        <v>1</v>
      </c>
      <c r="B324" s="690" t="s">
        <v>2801</v>
      </c>
      <c r="C324" s="443"/>
      <c r="D324" s="296"/>
    </row>
    <row r="325" spans="1:6" s="12" customFormat="1">
      <c r="A325" s="465"/>
      <c r="B325" s="690" t="s">
        <v>2802</v>
      </c>
      <c r="C325" s="443" t="s">
        <v>280</v>
      </c>
      <c r="D325" s="296">
        <v>14</v>
      </c>
      <c r="E325" s="434"/>
      <c r="F325" s="434"/>
    </row>
    <row r="326" spans="1:6" s="12" customFormat="1">
      <c r="A326" s="465"/>
      <c r="B326" s="690"/>
      <c r="C326" s="443"/>
      <c r="D326" s="296"/>
      <c r="E326" s="296"/>
      <c r="F326" s="296"/>
    </row>
    <row r="327" spans="1:6" s="12" customFormat="1">
      <c r="A327" s="432" t="s">
        <v>2889</v>
      </c>
      <c r="B327" s="433" t="s">
        <v>278</v>
      </c>
      <c r="C327" s="436"/>
      <c r="D327" s="436" t="s">
        <v>34</v>
      </c>
      <c r="E327" s="437"/>
      <c r="F327" s="434"/>
    </row>
    <row r="328" spans="1:6" s="12" customFormat="1">
      <c r="A328" s="432"/>
      <c r="B328" s="433"/>
      <c r="C328" s="436"/>
      <c r="D328" s="436"/>
      <c r="E328" s="437"/>
      <c r="F328" s="434"/>
    </row>
    <row r="329" spans="1:6" s="12" customFormat="1">
      <c r="A329" s="432"/>
      <c r="B329" s="433"/>
      <c r="C329" s="436"/>
      <c r="D329" s="436"/>
      <c r="E329" s="437"/>
      <c r="F329" s="434"/>
    </row>
    <row r="330" spans="1:6" s="12" customFormat="1">
      <c r="A330" s="465"/>
      <c r="B330" s="690"/>
      <c r="C330" s="443"/>
      <c r="D330" s="296"/>
    </row>
    <row r="331" spans="1:6" s="12" customFormat="1">
      <c r="A331" s="499" t="s">
        <v>2890</v>
      </c>
      <c r="B331" s="433" t="s">
        <v>2804</v>
      </c>
      <c r="C331" s="436"/>
      <c r="D331" s="436"/>
      <c r="E331" s="437"/>
      <c r="F331" s="434"/>
    </row>
    <row r="332" spans="1:6" s="12" customFormat="1">
      <c r="A332" s="465"/>
      <c r="B332" s="690"/>
      <c r="C332" s="443"/>
      <c r="D332" s="296"/>
    </row>
    <row r="333" spans="1:6" s="12" customFormat="1" ht="118.15" customHeight="1">
      <c r="A333" s="691">
        <v>1</v>
      </c>
      <c r="B333" s="690" t="s">
        <v>3411</v>
      </c>
      <c r="C333" s="443"/>
      <c r="D333" s="296"/>
    </row>
    <row r="334" spans="1:6" s="12" customFormat="1">
      <c r="A334" s="465"/>
      <c r="B334" s="690" t="s">
        <v>2805</v>
      </c>
      <c r="C334" s="443" t="s">
        <v>280</v>
      </c>
      <c r="D334" s="296">
        <v>45</v>
      </c>
      <c r="E334" s="434"/>
      <c r="F334" s="434"/>
    </row>
    <row r="335" spans="1:6" s="12" customFormat="1">
      <c r="A335" s="465"/>
      <c r="B335" s="690" t="s">
        <v>2806</v>
      </c>
      <c r="C335" s="443" t="s">
        <v>280</v>
      </c>
      <c r="D335" s="296">
        <v>30</v>
      </c>
      <c r="E335" s="434"/>
      <c r="F335" s="434"/>
    </row>
    <row r="336" spans="1:6" s="12" customFormat="1">
      <c r="A336" s="465"/>
      <c r="B336" s="690" t="s">
        <v>2807</v>
      </c>
      <c r="C336" s="443" t="s">
        <v>280</v>
      </c>
      <c r="D336" s="296">
        <v>24</v>
      </c>
      <c r="E336" s="434"/>
      <c r="F336" s="434"/>
    </row>
    <row r="337" spans="1:6" s="12" customFormat="1">
      <c r="A337" s="465"/>
      <c r="B337" s="690" t="s">
        <v>2808</v>
      </c>
      <c r="C337" s="443" t="s">
        <v>280</v>
      </c>
      <c r="D337" s="296">
        <v>5</v>
      </c>
      <c r="E337" s="434"/>
      <c r="F337" s="434"/>
    </row>
    <row r="338" spans="1:6" s="12" customFormat="1">
      <c r="A338" s="465"/>
      <c r="B338" s="690"/>
      <c r="C338" s="443"/>
      <c r="D338" s="296"/>
    </row>
    <row r="339" spans="1:6" s="12" customFormat="1" ht="118.9" customHeight="1">
      <c r="A339" s="691">
        <v>2</v>
      </c>
      <c r="B339" s="690" t="s">
        <v>3412</v>
      </c>
      <c r="C339" s="443"/>
      <c r="D339" s="296"/>
    </row>
    <row r="340" spans="1:6" s="12" customFormat="1">
      <c r="A340" s="465"/>
      <c r="B340" s="690" t="s">
        <v>2805</v>
      </c>
      <c r="C340" s="443" t="s">
        <v>280</v>
      </c>
      <c r="D340" s="296">
        <v>53</v>
      </c>
      <c r="E340" s="434"/>
      <c r="F340" s="434"/>
    </row>
    <row r="341" spans="1:6" s="12" customFormat="1">
      <c r="A341" s="465"/>
      <c r="B341" s="690" t="s">
        <v>2806</v>
      </c>
      <c r="C341" s="443" t="s">
        <v>280</v>
      </c>
      <c r="D341" s="296">
        <v>21</v>
      </c>
      <c r="E341" s="434"/>
      <c r="F341" s="434"/>
    </row>
    <row r="342" spans="1:6" s="12" customFormat="1">
      <c r="A342" s="465"/>
      <c r="B342" s="690" t="s">
        <v>2807</v>
      </c>
      <c r="C342" s="443" t="s">
        <v>280</v>
      </c>
      <c r="D342" s="296">
        <v>9</v>
      </c>
      <c r="E342" s="434"/>
      <c r="F342" s="434"/>
    </row>
    <row r="343" spans="1:6" s="12" customFormat="1">
      <c r="A343" s="465"/>
      <c r="B343" s="690"/>
      <c r="C343" s="443"/>
      <c r="D343" s="296"/>
    </row>
    <row r="344" spans="1:6" s="12" customFormat="1" ht="30">
      <c r="A344" s="691">
        <v>3</v>
      </c>
      <c r="B344" s="690" t="s">
        <v>2809</v>
      </c>
      <c r="C344" s="443"/>
      <c r="D344" s="296"/>
    </row>
    <row r="345" spans="1:6" s="12" customFormat="1">
      <c r="A345" s="465"/>
      <c r="B345" s="690" t="s">
        <v>2810</v>
      </c>
      <c r="C345" s="443" t="s">
        <v>280</v>
      </c>
      <c r="D345" s="296">
        <v>53</v>
      </c>
      <c r="E345" s="434"/>
      <c r="F345" s="434"/>
    </row>
    <row r="346" spans="1:6" s="12" customFormat="1">
      <c r="A346" s="465"/>
      <c r="B346" s="690" t="s">
        <v>2811</v>
      </c>
      <c r="C346" s="443" t="s">
        <v>280</v>
      </c>
      <c r="D346" s="296">
        <v>21</v>
      </c>
      <c r="E346" s="434"/>
      <c r="F346" s="434"/>
    </row>
    <row r="347" spans="1:6" s="12" customFormat="1">
      <c r="A347" s="465"/>
      <c r="B347" s="690" t="s">
        <v>2812</v>
      </c>
      <c r="C347" s="443" t="s">
        <v>280</v>
      </c>
      <c r="D347" s="296">
        <v>9</v>
      </c>
      <c r="E347" s="434"/>
      <c r="F347" s="434"/>
    </row>
    <row r="348" spans="1:6" s="12" customFormat="1">
      <c r="A348" s="465"/>
      <c r="B348" s="690"/>
      <c r="C348" s="443"/>
      <c r="D348" s="296"/>
    </row>
    <row r="349" spans="1:6" s="12" customFormat="1" ht="43.9" customHeight="1">
      <c r="A349" s="691">
        <v>4</v>
      </c>
      <c r="B349" s="690" t="s">
        <v>2813</v>
      </c>
      <c r="C349" s="443"/>
      <c r="D349" s="296"/>
    </row>
    <row r="350" spans="1:6" s="12" customFormat="1">
      <c r="A350" s="465"/>
      <c r="B350" s="690" t="s">
        <v>2814</v>
      </c>
      <c r="C350" s="443"/>
      <c r="D350" s="296"/>
    </row>
    <row r="351" spans="1:6" s="12" customFormat="1">
      <c r="A351" s="465"/>
      <c r="B351" s="690" t="s">
        <v>2815</v>
      </c>
      <c r="C351" s="443" t="s">
        <v>280</v>
      </c>
      <c r="D351" s="296">
        <v>45</v>
      </c>
      <c r="E351" s="434"/>
      <c r="F351" s="434"/>
    </row>
    <row r="352" spans="1:6" s="12" customFormat="1">
      <c r="A352" s="465"/>
      <c r="B352" s="690" t="s">
        <v>2816</v>
      </c>
      <c r="C352" s="443" t="s">
        <v>280</v>
      </c>
      <c r="D352" s="296">
        <v>30</v>
      </c>
      <c r="E352" s="434"/>
      <c r="F352" s="434"/>
    </row>
    <row r="353" spans="1:8" s="12" customFormat="1">
      <c r="A353" s="465"/>
      <c r="B353" s="690" t="s">
        <v>2817</v>
      </c>
      <c r="C353" s="443" t="s">
        <v>280</v>
      </c>
      <c r="D353" s="296">
        <v>24</v>
      </c>
      <c r="E353" s="434"/>
      <c r="F353" s="434"/>
    </row>
    <row r="354" spans="1:8" s="12" customFormat="1">
      <c r="A354" s="465"/>
      <c r="B354" s="690" t="s">
        <v>2818</v>
      </c>
      <c r="C354" s="443" t="s">
        <v>280</v>
      </c>
      <c r="D354" s="296">
        <v>5</v>
      </c>
      <c r="E354" s="434"/>
      <c r="F354" s="434"/>
    </row>
    <row r="355" spans="1:8" s="12" customFormat="1">
      <c r="A355" s="465"/>
      <c r="B355" s="690"/>
      <c r="C355" s="443"/>
      <c r="D355" s="296"/>
      <c r="E355" s="434"/>
      <c r="F355" s="345"/>
    </row>
    <row r="356" spans="1:8" s="12" customFormat="1" ht="291.60000000000002" customHeight="1">
      <c r="A356" s="663">
        <v>5</v>
      </c>
      <c r="B356" s="664" t="s">
        <v>2819</v>
      </c>
      <c r="C356" s="459"/>
      <c r="D356" s="296"/>
    </row>
    <row r="357" spans="1:8" s="12" customFormat="1">
      <c r="A357" s="465"/>
      <c r="B357" s="664" t="s">
        <v>2814</v>
      </c>
      <c r="C357" s="459"/>
      <c r="D357" s="296"/>
    </row>
    <row r="358" spans="1:8" s="12" customFormat="1">
      <c r="A358" s="465"/>
      <c r="B358" s="664" t="s">
        <v>2820</v>
      </c>
      <c r="C358" s="459"/>
      <c r="D358" s="296"/>
    </row>
    <row r="359" spans="1:8" s="12" customFormat="1">
      <c r="A359" s="465"/>
      <c r="B359" s="695" t="s">
        <v>2821</v>
      </c>
      <c r="C359" s="459"/>
      <c r="D359" s="296"/>
    </row>
    <row r="360" spans="1:8" s="12" customFormat="1">
      <c r="A360" s="465"/>
      <c r="B360" s="664" t="s">
        <v>2822</v>
      </c>
      <c r="C360" s="459" t="s">
        <v>280</v>
      </c>
      <c r="D360" s="296">
        <v>10</v>
      </c>
      <c r="E360" s="434"/>
      <c r="F360" s="434"/>
    </row>
    <row r="361" spans="1:8" s="12" customFormat="1">
      <c r="A361" s="465"/>
      <c r="B361" s="450" t="s">
        <v>2823</v>
      </c>
      <c r="C361" s="459" t="s">
        <v>280</v>
      </c>
      <c r="D361" s="296">
        <v>71</v>
      </c>
      <c r="E361" s="434"/>
      <c r="F361" s="434"/>
    </row>
    <row r="362" spans="1:8" s="12" customFormat="1">
      <c r="A362" s="465"/>
      <c r="B362" s="450" t="s">
        <v>2824</v>
      </c>
      <c r="C362" s="459" t="s">
        <v>280</v>
      </c>
      <c r="D362" s="296">
        <v>48</v>
      </c>
      <c r="E362" s="434"/>
      <c r="F362" s="434"/>
    </row>
    <row r="363" spans="1:8" s="12" customFormat="1">
      <c r="A363" s="465"/>
      <c r="B363" s="664"/>
      <c r="C363" s="459"/>
      <c r="D363" s="296"/>
      <c r="E363" s="434"/>
      <c r="F363" s="345"/>
    </row>
    <row r="364" spans="1:8" s="12" customFormat="1">
      <c r="A364" s="465"/>
      <c r="B364" s="695" t="s">
        <v>2825</v>
      </c>
      <c r="C364" s="459"/>
      <c r="D364" s="296"/>
    </row>
    <row r="365" spans="1:8" s="12" customFormat="1">
      <c r="A365" s="465"/>
      <c r="B365" s="664" t="s">
        <v>2822</v>
      </c>
      <c r="C365" s="459" t="s">
        <v>280</v>
      </c>
      <c r="D365" s="296">
        <v>172</v>
      </c>
      <c r="E365" s="506"/>
      <c r="F365" s="434"/>
      <c r="G365" s="434"/>
      <c r="H365" s="437"/>
    </row>
    <row r="366" spans="1:8" s="12" customFormat="1">
      <c r="A366" s="465"/>
      <c r="B366" s="450" t="s">
        <v>2823</v>
      </c>
      <c r="C366" s="459" t="s">
        <v>280</v>
      </c>
      <c r="D366" s="296">
        <v>51</v>
      </c>
      <c r="E366" s="506"/>
      <c r="F366" s="434"/>
      <c r="G366" s="434"/>
      <c r="H366" s="437"/>
    </row>
    <row r="367" spans="1:8" s="12" customFormat="1">
      <c r="A367" s="465"/>
      <c r="B367" s="450" t="s">
        <v>2826</v>
      </c>
      <c r="C367" s="459" t="s">
        <v>280</v>
      </c>
      <c r="D367" s="296">
        <v>51</v>
      </c>
      <c r="E367" s="506"/>
      <c r="F367" s="434"/>
      <c r="G367" s="434"/>
      <c r="H367" s="437"/>
    </row>
    <row r="368" spans="1:8" s="12" customFormat="1">
      <c r="A368" s="465"/>
      <c r="B368" s="664"/>
      <c r="C368" s="459"/>
      <c r="D368" s="296"/>
      <c r="E368" s="434"/>
      <c r="F368" s="345"/>
    </row>
    <row r="369" spans="1:6" s="12" customFormat="1" ht="232.9" customHeight="1">
      <c r="A369" s="663">
        <v>6</v>
      </c>
      <c r="B369" s="664" t="s">
        <v>3413</v>
      </c>
      <c r="C369" s="459"/>
      <c r="D369" s="296"/>
    </row>
    <row r="370" spans="1:6" s="12" customFormat="1">
      <c r="A370" s="465"/>
      <c r="B370" s="664" t="s">
        <v>2814</v>
      </c>
      <c r="C370" s="459"/>
      <c r="D370" s="296"/>
    </row>
    <row r="371" spans="1:6" s="12" customFormat="1">
      <c r="A371" s="465"/>
      <c r="B371" s="664" t="s">
        <v>2820</v>
      </c>
      <c r="C371" s="459"/>
      <c r="D371" s="296"/>
    </row>
    <row r="372" spans="1:6" s="12" customFormat="1">
      <c r="A372" s="465"/>
      <c r="B372" s="695" t="s">
        <v>2821</v>
      </c>
      <c r="C372" s="459"/>
      <c r="D372" s="296"/>
    </row>
    <row r="373" spans="1:6" s="12" customFormat="1">
      <c r="A373" s="465"/>
      <c r="B373" s="664" t="s">
        <v>2822</v>
      </c>
      <c r="C373" s="459" t="s">
        <v>280</v>
      </c>
      <c r="D373" s="296">
        <v>10</v>
      </c>
      <c r="E373" s="434"/>
      <c r="F373" s="434"/>
    </row>
    <row r="374" spans="1:6" s="12" customFormat="1">
      <c r="A374" s="465"/>
      <c r="B374" s="450" t="s">
        <v>2823</v>
      </c>
      <c r="C374" s="459" t="s">
        <v>280</v>
      </c>
      <c r="D374" s="296">
        <v>71</v>
      </c>
      <c r="E374" s="434"/>
      <c r="F374" s="434"/>
    </row>
    <row r="375" spans="1:6" s="12" customFormat="1">
      <c r="A375" s="465"/>
      <c r="B375" s="450" t="s">
        <v>2824</v>
      </c>
      <c r="C375" s="459" t="s">
        <v>280</v>
      </c>
      <c r="D375" s="296">
        <v>48</v>
      </c>
      <c r="E375" s="434"/>
      <c r="F375" s="434"/>
    </row>
    <row r="376" spans="1:6" s="12" customFormat="1">
      <c r="A376" s="465"/>
      <c r="B376" s="664"/>
      <c r="C376" s="459"/>
      <c r="D376" s="296"/>
      <c r="E376" s="434"/>
      <c r="F376" s="345"/>
    </row>
    <row r="377" spans="1:6" s="12" customFormat="1" ht="162.6" customHeight="1">
      <c r="A377" s="663">
        <v>7</v>
      </c>
      <c r="B377" s="5" t="s">
        <v>2894</v>
      </c>
      <c r="C377" s="459"/>
      <c r="D377" s="296"/>
    </row>
    <row r="378" spans="1:6" s="12" customFormat="1">
      <c r="A378" s="465"/>
      <c r="B378" s="664" t="s">
        <v>2814</v>
      </c>
      <c r="C378" s="459"/>
      <c r="D378" s="296"/>
    </row>
    <row r="379" spans="1:6" s="12" customFormat="1">
      <c r="A379" s="465"/>
      <c r="B379" s="664" t="s">
        <v>2820</v>
      </c>
      <c r="C379" s="459"/>
      <c r="D379" s="296"/>
    </row>
    <row r="380" spans="1:6" s="12" customFormat="1">
      <c r="A380" s="465"/>
      <c r="B380" s="695" t="s">
        <v>2825</v>
      </c>
      <c r="C380" s="459"/>
      <c r="D380" s="296"/>
    </row>
    <row r="381" spans="1:6" s="12" customFormat="1">
      <c r="A381" s="465"/>
      <c r="B381" s="664" t="s">
        <v>2822</v>
      </c>
      <c r="C381" s="459" t="s">
        <v>280</v>
      </c>
      <c r="D381" s="296">
        <v>172</v>
      </c>
      <c r="E381" s="434"/>
      <c r="F381" s="434"/>
    </row>
    <row r="382" spans="1:6" s="12" customFormat="1">
      <c r="A382" s="465"/>
      <c r="B382" s="450" t="s">
        <v>2823</v>
      </c>
      <c r="C382" s="459" t="s">
        <v>280</v>
      </c>
      <c r="D382" s="296">
        <v>51</v>
      </c>
      <c r="E382" s="434"/>
      <c r="F382" s="434"/>
    </row>
    <row r="383" spans="1:6" s="12" customFormat="1">
      <c r="A383" s="465"/>
      <c r="B383" s="450" t="s">
        <v>2826</v>
      </c>
      <c r="C383" s="459" t="s">
        <v>280</v>
      </c>
      <c r="D383" s="296">
        <v>51</v>
      </c>
      <c r="E383" s="434"/>
      <c r="F383" s="434"/>
    </row>
    <row r="384" spans="1:6" s="12" customFormat="1">
      <c r="A384" s="465"/>
      <c r="B384" s="450"/>
      <c r="C384" s="459"/>
      <c r="D384" s="296"/>
      <c r="E384" s="434"/>
      <c r="F384" s="434"/>
    </row>
    <row r="385" spans="1:6" s="12" customFormat="1" ht="30">
      <c r="A385" s="691">
        <v>8</v>
      </c>
      <c r="B385" s="690" t="s">
        <v>2827</v>
      </c>
      <c r="C385" s="443"/>
      <c r="D385" s="296"/>
    </row>
    <row r="386" spans="1:6" s="12" customFormat="1">
      <c r="A386" s="465"/>
      <c r="B386" s="690" t="s">
        <v>2828</v>
      </c>
      <c r="C386" s="443" t="s">
        <v>18</v>
      </c>
      <c r="D386" s="296">
        <v>4</v>
      </c>
      <c r="E386" s="434"/>
      <c r="F386" s="434"/>
    </row>
    <row r="387" spans="1:6" s="12" customFormat="1">
      <c r="A387" s="465"/>
      <c r="B387" s="690"/>
      <c r="C387" s="443"/>
      <c r="D387" s="296"/>
      <c r="E387" s="434"/>
      <c r="F387" s="345"/>
    </row>
    <row r="388" spans="1:6" s="12" customFormat="1">
      <c r="A388" s="691">
        <v>9</v>
      </c>
      <c r="B388" s="690" t="s">
        <v>2829</v>
      </c>
      <c r="C388" s="443"/>
      <c r="D388" s="296"/>
    </row>
    <row r="389" spans="1:6" s="12" customFormat="1">
      <c r="A389" s="465"/>
      <c r="B389" s="690" t="s">
        <v>2830</v>
      </c>
      <c r="C389" s="443" t="s">
        <v>18</v>
      </c>
      <c r="D389" s="296">
        <v>49</v>
      </c>
      <c r="E389" s="434"/>
      <c r="F389" s="434"/>
    </row>
    <row r="390" spans="1:6" s="12" customFormat="1">
      <c r="A390" s="465"/>
      <c r="B390" s="690"/>
      <c r="C390" s="443"/>
      <c r="D390" s="296"/>
      <c r="E390" s="434"/>
      <c r="F390" s="345"/>
    </row>
    <row r="391" spans="1:6" s="12" customFormat="1" ht="30">
      <c r="A391" s="444">
        <v>10</v>
      </c>
      <c r="B391" s="6" t="s">
        <v>2831</v>
      </c>
      <c r="C391" s="445"/>
      <c r="D391" s="451"/>
      <c r="E391" s="297"/>
    </row>
    <row r="392" spans="1:6" s="12" customFormat="1">
      <c r="A392" s="444"/>
      <c r="B392" s="12" t="s">
        <v>2832</v>
      </c>
      <c r="C392" s="426" t="s">
        <v>18</v>
      </c>
      <c r="D392" s="296">
        <v>8</v>
      </c>
      <c r="E392" s="434"/>
      <c r="F392" s="434"/>
    </row>
    <row r="393" spans="1:6" s="12" customFormat="1">
      <c r="A393" s="444"/>
      <c r="B393" s="12" t="s">
        <v>2833</v>
      </c>
      <c r="C393" s="426" t="s">
        <v>18</v>
      </c>
      <c r="D393" s="296">
        <v>2</v>
      </c>
      <c r="E393" s="434"/>
      <c r="F393" s="434"/>
    </row>
    <row r="394" spans="1:6" s="12" customFormat="1">
      <c r="A394" s="444"/>
      <c r="B394" s="12" t="s">
        <v>2834</v>
      </c>
      <c r="C394" s="426" t="s">
        <v>18</v>
      </c>
      <c r="D394" s="296">
        <v>5</v>
      </c>
      <c r="E394" s="434"/>
      <c r="F394" s="434"/>
    </row>
    <row r="395" spans="1:6" s="12" customFormat="1">
      <c r="A395" s="465"/>
      <c r="B395" s="690"/>
      <c r="C395" s="443"/>
      <c r="D395" s="296"/>
    </row>
    <row r="396" spans="1:6" s="12" customFormat="1" ht="90">
      <c r="A396" s="691">
        <v>11</v>
      </c>
      <c r="B396" s="690" t="s">
        <v>2835</v>
      </c>
      <c r="C396" s="443" t="s">
        <v>18</v>
      </c>
      <c r="D396" s="296">
        <v>53</v>
      </c>
      <c r="E396" s="434"/>
      <c r="F396" s="434"/>
    </row>
    <row r="397" spans="1:6" s="12" customFormat="1">
      <c r="A397" s="465"/>
      <c r="B397" s="690"/>
      <c r="C397" s="443"/>
      <c r="D397" s="296"/>
    </row>
    <row r="398" spans="1:6" s="12" customFormat="1" ht="90">
      <c r="A398" s="691">
        <v>12</v>
      </c>
      <c r="B398" s="690" t="s">
        <v>3414</v>
      </c>
      <c r="C398" s="443" t="s">
        <v>76</v>
      </c>
      <c r="D398" s="296">
        <v>1</v>
      </c>
      <c r="E398" s="434"/>
      <c r="F398" s="434"/>
    </row>
    <row r="399" spans="1:6" s="12" customFormat="1">
      <c r="A399" s="691"/>
      <c r="B399" s="690"/>
      <c r="C399" s="443"/>
      <c r="D399" s="296"/>
      <c r="E399" s="434"/>
      <c r="F399" s="434"/>
    </row>
    <row r="400" spans="1:6" s="12" customFormat="1" ht="60">
      <c r="A400" s="663">
        <v>13</v>
      </c>
      <c r="B400" s="664" t="s">
        <v>2836</v>
      </c>
      <c r="C400" s="296"/>
      <c r="D400" s="296"/>
      <c r="E400" s="434"/>
      <c r="F400" s="434"/>
    </row>
    <row r="401" spans="1:6" s="12" customFormat="1" ht="115.9" customHeight="1">
      <c r="A401" s="663"/>
      <c r="B401" s="664" t="s">
        <v>2837</v>
      </c>
      <c r="C401" s="459" t="s">
        <v>76</v>
      </c>
      <c r="D401" s="296">
        <v>2</v>
      </c>
      <c r="E401" s="434"/>
      <c r="F401" s="434"/>
    </row>
    <row r="402" spans="1:6" s="12" customFormat="1">
      <c r="A402" s="663"/>
      <c r="B402" s="664"/>
      <c r="C402" s="459"/>
      <c r="D402" s="296"/>
      <c r="E402" s="434"/>
      <c r="F402" s="434"/>
    </row>
    <row r="403" spans="1:6" s="12" customFormat="1" ht="273" customHeight="1">
      <c r="A403" s="663">
        <v>14</v>
      </c>
      <c r="B403" s="664" t="s">
        <v>2838</v>
      </c>
      <c r="C403" s="296"/>
      <c r="D403" s="296"/>
      <c r="E403" s="434"/>
      <c r="F403" s="434"/>
    </row>
    <row r="404" spans="1:6" s="12" customFormat="1" ht="165">
      <c r="A404" s="663"/>
      <c r="B404" s="664" t="s">
        <v>2839</v>
      </c>
      <c r="C404" s="459" t="s">
        <v>76</v>
      </c>
      <c r="D404" s="296">
        <v>5</v>
      </c>
      <c r="E404" s="434"/>
      <c r="F404" s="434"/>
    </row>
    <row r="405" spans="1:6" s="12" customFormat="1">
      <c r="A405" s="663"/>
      <c r="B405" s="664"/>
      <c r="C405" s="459"/>
      <c r="D405" s="296"/>
      <c r="E405" s="434"/>
      <c r="F405" s="434"/>
    </row>
    <row r="406" spans="1:6" s="12" customFormat="1" ht="75">
      <c r="A406" s="663">
        <v>15</v>
      </c>
      <c r="B406" s="664" t="s">
        <v>2840</v>
      </c>
      <c r="C406" s="459"/>
      <c r="D406" s="296"/>
      <c r="E406" s="506"/>
      <c r="F406" s="506"/>
    </row>
    <row r="407" spans="1:6" s="12" customFormat="1">
      <c r="A407" s="465"/>
      <c r="B407" s="664" t="s">
        <v>2841</v>
      </c>
      <c r="C407" s="459" t="s">
        <v>280</v>
      </c>
      <c r="D407" s="296">
        <v>91</v>
      </c>
      <c r="E407" s="506"/>
      <c r="F407" s="506"/>
    </row>
    <row r="408" spans="1:6" s="12" customFormat="1">
      <c r="A408" s="465"/>
      <c r="B408" s="664"/>
      <c r="C408" s="459"/>
      <c r="D408" s="296"/>
      <c r="E408" s="506"/>
      <c r="F408" s="620"/>
    </row>
    <row r="409" spans="1:6" s="12" customFormat="1" ht="118.9" customHeight="1">
      <c r="A409" s="663">
        <v>16</v>
      </c>
      <c r="B409" s="664" t="s">
        <v>2842</v>
      </c>
      <c r="C409" s="459" t="s">
        <v>18</v>
      </c>
      <c r="D409" s="296">
        <v>4</v>
      </c>
      <c r="E409" s="506"/>
      <c r="F409" s="696"/>
    </row>
    <row r="410" spans="1:6" s="12" customFormat="1">
      <c r="A410" s="465"/>
      <c r="B410" s="664"/>
      <c r="C410" s="459"/>
      <c r="D410" s="296"/>
      <c r="E410" s="506"/>
      <c r="F410" s="506"/>
    </row>
    <row r="411" spans="1:6" s="12" customFormat="1" ht="45">
      <c r="A411" s="663">
        <v>17</v>
      </c>
      <c r="B411" s="664" t="s">
        <v>2739</v>
      </c>
      <c r="C411" s="459" t="s">
        <v>76</v>
      </c>
      <c r="D411" s="296">
        <v>4</v>
      </c>
      <c r="E411" s="506"/>
      <c r="F411" s="506"/>
    </row>
    <row r="412" spans="1:6" s="12" customFormat="1">
      <c r="A412" s="663"/>
      <c r="B412" s="664"/>
      <c r="C412" s="459"/>
      <c r="D412" s="296"/>
      <c r="E412" s="506"/>
      <c r="F412" s="506"/>
    </row>
    <row r="413" spans="1:6" s="12" customFormat="1" ht="45">
      <c r="A413" s="663">
        <v>18</v>
      </c>
      <c r="B413" s="664" t="s">
        <v>2843</v>
      </c>
      <c r="C413" s="459"/>
      <c r="D413" s="296"/>
      <c r="E413" s="506"/>
      <c r="F413" s="506"/>
    </row>
    <row r="414" spans="1:6" s="12" customFormat="1">
      <c r="A414" s="663"/>
      <c r="B414" s="664" t="s">
        <v>2844</v>
      </c>
      <c r="C414" s="459" t="s">
        <v>18</v>
      </c>
      <c r="D414" s="296">
        <v>3</v>
      </c>
      <c r="E414" s="506"/>
      <c r="F414" s="506"/>
    </row>
    <row r="415" spans="1:6" s="12" customFormat="1">
      <c r="A415" s="663"/>
      <c r="B415" s="664"/>
      <c r="C415" s="459"/>
      <c r="D415" s="296"/>
      <c r="E415" s="506"/>
      <c r="F415" s="506"/>
    </row>
    <row r="416" spans="1:6" s="12" customFormat="1" ht="45">
      <c r="A416" s="691">
        <v>19</v>
      </c>
      <c r="B416" s="690" t="s">
        <v>2845</v>
      </c>
      <c r="C416" s="443" t="s">
        <v>76</v>
      </c>
      <c r="D416" s="296">
        <v>1</v>
      </c>
      <c r="E416" s="434"/>
      <c r="F416" s="434"/>
    </row>
    <row r="417" spans="1:6" s="12" customFormat="1">
      <c r="A417" s="465"/>
      <c r="B417" s="690"/>
      <c r="C417" s="443"/>
      <c r="D417" s="296"/>
    </row>
    <row r="418" spans="1:6" s="12" customFormat="1" ht="30">
      <c r="A418" s="691">
        <v>20</v>
      </c>
      <c r="B418" s="690" t="s">
        <v>2846</v>
      </c>
      <c r="C418" s="443" t="s">
        <v>76</v>
      </c>
      <c r="D418" s="296">
        <v>1</v>
      </c>
      <c r="E418" s="434"/>
      <c r="F418" s="434"/>
    </row>
    <row r="419" spans="1:6" s="12" customFormat="1">
      <c r="A419" s="691"/>
      <c r="B419" s="690"/>
      <c r="C419" s="443"/>
      <c r="D419" s="296"/>
      <c r="E419" s="434"/>
      <c r="F419" s="345"/>
    </row>
    <row r="420" spans="1:6" s="12" customFormat="1" ht="30">
      <c r="A420" s="691">
        <v>21</v>
      </c>
      <c r="B420" s="690" t="s">
        <v>2847</v>
      </c>
      <c r="C420" s="443" t="s">
        <v>76</v>
      </c>
      <c r="D420" s="296">
        <v>7</v>
      </c>
      <c r="E420" s="434"/>
      <c r="F420" s="434"/>
    </row>
    <row r="421" spans="1:6" s="12" customFormat="1">
      <c r="A421" s="691"/>
      <c r="B421" s="690"/>
      <c r="C421" s="443"/>
      <c r="D421" s="296"/>
      <c r="E421" s="434"/>
      <c r="F421" s="345"/>
    </row>
    <row r="422" spans="1:6" s="12" customFormat="1">
      <c r="A422" s="432" t="s">
        <v>2890</v>
      </c>
      <c r="B422" s="433" t="s">
        <v>278</v>
      </c>
      <c r="C422" s="436"/>
      <c r="D422" s="436" t="s">
        <v>34</v>
      </c>
      <c r="E422" s="437"/>
      <c r="F422" s="434"/>
    </row>
    <row r="423" spans="1:6" s="12" customFormat="1">
      <c r="A423" s="432"/>
      <c r="B423" s="433"/>
      <c r="C423" s="436"/>
      <c r="D423" s="436"/>
      <c r="E423" s="437"/>
      <c r="F423" s="434"/>
    </row>
    <row r="424" spans="1:6" s="12" customFormat="1">
      <c r="A424" s="432"/>
      <c r="B424" s="433"/>
      <c r="C424" s="436"/>
      <c r="D424" s="436"/>
      <c r="E424" s="437"/>
      <c r="F424" s="434"/>
    </row>
    <row r="425" spans="1:6" s="12" customFormat="1">
      <c r="A425" s="691"/>
      <c r="B425" s="690"/>
      <c r="C425" s="443"/>
      <c r="D425" s="296"/>
      <c r="E425" s="434"/>
      <c r="F425" s="345"/>
    </row>
    <row r="426" spans="1:6" s="12" customFormat="1">
      <c r="A426" s="447" t="s">
        <v>2891</v>
      </c>
      <c r="B426" s="433" t="s">
        <v>2754</v>
      </c>
      <c r="C426" s="436"/>
      <c r="D426" s="436"/>
      <c r="E426" s="437"/>
      <c r="F426" s="434"/>
    </row>
    <row r="427" spans="1:6" s="12" customFormat="1">
      <c r="A427" s="691"/>
      <c r="B427" s="690"/>
      <c r="C427" s="443"/>
      <c r="D427" s="296"/>
      <c r="E427" s="434"/>
      <c r="F427" s="345"/>
    </row>
    <row r="428" spans="1:6" s="12" customFormat="1" ht="75">
      <c r="A428" s="691">
        <v>1</v>
      </c>
      <c r="B428" s="690" t="s">
        <v>2796</v>
      </c>
      <c r="C428" s="443" t="s">
        <v>76</v>
      </c>
      <c r="D428" s="296">
        <v>1</v>
      </c>
      <c r="E428" s="434"/>
      <c r="F428" s="434"/>
    </row>
    <row r="429" spans="1:6" s="12" customFormat="1">
      <c r="A429" s="691"/>
      <c r="B429" s="690"/>
      <c r="C429" s="443"/>
      <c r="D429" s="690"/>
      <c r="E429" s="690"/>
      <c r="F429" s="345"/>
    </row>
    <row r="430" spans="1:6" s="12" customFormat="1">
      <c r="A430" s="432" t="s">
        <v>2891</v>
      </c>
      <c r="B430" s="433" t="s">
        <v>278</v>
      </c>
      <c r="C430" s="436"/>
      <c r="D430" s="436" t="s">
        <v>34</v>
      </c>
      <c r="E430" s="437"/>
      <c r="F430" s="434"/>
    </row>
    <row r="431" spans="1:6" s="12" customFormat="1">
      <c r="A431" s="432"/>
      <c r="B431" s="433"/>
      <c r="C431" s="436"/>
      <c r="D431" s="436"/>
      <c r="E431" s="437"/>
      <c r="F431" s="434"/>
    </row>
    <row r="432" spans="1:6" s="12" customFormat="1">
      <c r="A432" s="432"/>
      <c r="B432" s="433"/>
      <c r="C432" s="436"/>
      <c r="D432" s="436"/>
      <c r="E432" s="437"/>
      <c r="F432" s="434"/>
    </row>
    <row r="433" spans="1:255" s="12" customFormat="1">
      <c r="A433" s="232"/>
      <c r="B433" s="233"/>
      <c r="C433" s="296"/>
      <c r="D433" s="296"/>
      <c r="E433" s="434"/>
      <c r="F433" s="434"/>
    </row>
    <row r="434" spans="1:255" s="12" customFormat="1">
      <c r="A434" s="499" t="s">
        <v>2880</v>
      </c>
      <c r="B434" s="433" t="s">
        <v>2850</v>
      </c>
      <c r="C434" s="436"/>
      <c r="D434" s="436"/>
      <c r="E434" s="437"/>
      <c r="F434" s="434"/>
    </row>
    <row r="435" spans="1:255" s="12" customFormat="1">
      <c r="A435" s="444"/>
      <c r="B435" s="233"/>
      <c r="C435" s="443"/>
      <c r="D435" s="296"/>
      <c r="E435" s="434"/>
      <c r="F435" s="434"/>
    </row>
    <row r="436" spans="1:255" s="12" customFormat="1" ht="45">
      <c r="A436" s="444">
        <v>1</v>
      </c>
      <c r="B436" s="452" t="s">
        <v>2895</v>
      </c>
      <c r="C436" s="453"/>
      <c r="D436" s="454"/>
      <c r="E436" s="455"/>
      <c r="F436" s="456"/>
      <c r="I436" s="457"/>
      <c r="J436" s="457"/>
      <c r="K436" s="457"/>
      <c r="L436" s="457"/>
      <c r="M436" s="457"/>
      <c r="N436" s="457"/>
      <c r="O436" s="457"/>
      <c r="P436" s="457"/>
      <c r="Q436" s="457"/>
      <c r="R436" s="457"/>
      <c r="S436" s="457"/>
      <c r="T436" s="457"/>
      <c r="U436" s="457"/>
      <c r="V436" s="457"/>
      <c r="W436" s="457"/>
      <c r="X436" s="457"/>
      <c r="Y436" s="457"/>
      <c r="Z436" s="457"/>
      <c r="AA436" s="457"/>
      <c r="AB436" s="457"/>
      <c r="AC436" s="457"/>
      <c r="AD436" s="457"/>
      <c r="AE436" s="457"/>
      <c r="AF436" s="457"/>
      <c r="AG436" s="457"/>
      <c r="AH436" s="457"/>
      <c r="AI436" s="457"/>
      <c r="AJ436" s="457"/>
      <c r="AK436" s="457"/>
      <c r="AL436" s="457"/>
      <c r="AM436" s="457"/>
      <c r="AN436" s="457"/>
      <c r="AO436" s="457"/>
      <c r="AP436" s="457"/>
      <c r="AQ436" s="457"/>
      <c r="AR436" s="457"/>
      <c r="AS436" s="457"/>
      <c r="AT436" s="457"/>
      <c r="AU436" s="457"/>
      <c r="AV436" s="457"/>
      <c r="AW436" s="457"/>
      <c r="AX436" s="457"/>
      <c r="AY436" s="457"/>
      <c r="AZ436" s="457"/>
      <c r="BA436" s="457"/>
      <c r="BB436" s="457"/>
      <c r="BC436" s="457"/>
      <c r="BD436" s="457"/>
      <c r="BE436" s="457"/>
      <c r="BF436" s="457"/>
      <c r="BG436" s="457"/>
      <c r="BH436" s="457"/>
      <c r="BI436" s="457"/>
      <c r="BJ436" s="457"/>
      <c r="BK436" s="457"/>
      <c r="BL436" s="457"/>
      <c r="BM436" s="457"/>
      <c r="BN436" s="457"/>
      <c r="BO436" s="457"/>
      <c r="BP436" s="457"/>
      <c r="BQ436" s="457"/>
      <c r="BR436" s="457"/>
      <c r="BS436" s="457"/>
      <c r="BT436" s="457"/>
      <c r="BU436" s="457"/>
      <c r="BV436" s="457"/>
      <c r="BW436" s="457"/>
      <c r="BX436" s="457"/>
      <c r="BY436" s="457"/>
      <c r="BZ436" s="457"/>
      <c r="CA436" s="457"/>
      <c r="CB436" s="457"/>
      <c r="CC436" s="457"/>
      <c r="CD436" s="457"/>
      <c r="CE436" s="457"/>
      <c r="CF436" s="457"/>
      <c r="CG436" s="457"/>
      <c r="CH436" s="457"/>
      <c r="CI436" s="457"/>
      <c r="CJ436" s="457"/>
      <c r="CK436" s="457"/>
      <c r="CL436" s="457"/>
      <c r="CM436" s="457"/>
      <c r="CN436" s="457"/>
      <c r="CO436" s="457"/>
      <c r="CP436" s="457"/>
      <c r="CQ436" s="457"/>
      <c r="CR436" s="457"/>
      <c r="CS436" s="457"/>
      <c r="CT436" s="457"/>
      <c r="CU436" s="457"/>
      <c r="CV436" s="457"/>
      <c r="CW436" s="457"/>
      <c r="CX436" s="457"/>
      <c r="CY436" s="457"/>
      <c r="CZ436" s="457"/>
      <c r="DA436" s="457"/>
      <c r="DB436" s="457"/>
      <c r="DC436" s="457"/>
      <c r="DD436" s="457"/>
      <c r="DE436" s="457"/>
      <c r="DF436" s="457"/>
      <c r="DG436" s="457"/>
      <c r="DH436" s="457"/>
      <c r="DI436" s="457"/>
      <c r="DJ436" s="457"/>
      <c r="DK436" s="457"/>
      <c r="DL436" s="457"/>
      <c r="DM436" s="457"/>
      <c r="DN436" s="457"/>
      <c r="DO436" s="457"/>
      <c r="DP436" s="457"/>
      <c r="DQ436" s="457"/>
      <c r="DR436" s="457"/>
      <c r="DS436" s="457"/>
      <c r="DT436" s="457"/>
      <c r="DU436" s="457"/>
      <c r="DV436" s="457"/>
      <c r="DW436" s="457"/>
      <c r="DX436" s="457"/>
      <c r="DY436" s="457"/>
      <c r="DZ436" s="457"/>
      <c r="EA436" s="457"/>
      <c r="EB436" s="457"/>
      <c r="EC436" s="457"/>
      <c r="ED436" s="457"/>
      <c r="EE436" s="457"/>
      <c r="EF436" s="457"/>
      <c r="EG436" s="457"/>
      <c r="EH436" s="457"/>
      <c r="EI436" s="457"/>
      <c r="EJ436" s="457"/>
      <c r="EK436" s="457"/>
      <c r="EL436" s="457"/>
      <c r="EM436" s="457"/>
      <c r="EN436" s="457"/>
      <c r="EO436" s="457"/>
      <c r="EP436" s="457"/>
      <c r="EQ436" s="457"/>
      <c r="ER436" s="457"/>
      <c r="ES436" s="457"/>
      <c r="ET436" s="457"/>
      <c r="EU436" s="457"/>
      <c r="EV436" s="457"/>
      <c r="EW436" s="457"/>
      <c r="EX436" s="457"/>
      <c r="EY436" s="457"/>
      <c r="EZ436" s="457"/>
      <c r="FA436" s="457"/>
      <c r="FB436" s="457"/>
      <c r="FC436" s="457"/>
      <c r="FD436" s="457"/>
      <c r="FE436" s="457"/>
      <c r="FF436" s="457"/>
      <c r="FG436" s="457"/>
      <c r="FH436" s="457"/>
      <c r="FI436" s="457"/>
      <c r="FJ436" s="457"/>
      <c r="FK436" s="457"/>
      <c r="FL436" s="457"/>
      <c r="FM436" s="457"/>
      <c r="FN436" s="457"/>
      <c r="FO436" s="457"/>
      <c r="FP436" s="457"/>
      <c r="FQ436" s="457"/>
      <c r="FR436" s="457"/>
      <c r="FS436" s="457"/>
      <c r="FT436" s="457"/>
      <c r="FU436" s="457"/>
      <c r="FV436" s="457"/>
      <c r="FW436" s="457"/>
      <c r="FX436" s="457"/>
      <c r="FY436" s="457"/>
      <c r="FZ436" s="457"/>
      <c r="GA436" s="457"/>
      <c r="GB436" s="457"/>
      <c r="GC436" s="457"/>
      <c r="GD436" s="457"/>
      <c r="GE436" s="457"/>
      <c r="GF436" s="457"/>
      <c r="GG436" s="457"/>
      <c r="GH436" s="457"/>
      <c r="GI436" s="457"/>
      <c r="GJ436" s="457"/>
      <c r="GK436" s="457"/>
      <c r="GL436" s="457"/>
      <c r="GM436" s="457"/>
      <c r="GN436" s="457"/>
      <c r="GO436" s="457"/>
      <c r="GP436" s="457"/>
      <c r="GQ436" s="457"/>
      <c r="GR436" s="457"/>
      <c r="GS436" s="457"/>
      <c r="GT436" s="457"/>
      <c r="GU436" s="457"/>
      <c r="GV436" s="457"/>
      <c r="GW436" s="457"/>
      <c r="GX436" s="457"/>
      <c r="GY436" s="457"/>
      <c r="GZ436" s="457"/>
      <c r="HA436" s="457"/>
      <c r="HB436" s="457"/>
      <c r="HC436" s="457"/>
      <c r="HD436" s="457"/>
      <c r="HE436" s="457"/>
      <c r="HF436" s="457"/>
      <c r="HG436" s="457"/>
      <c r="HH436" s="457"/>
      <c r="HI436" s="457"/>
      <c r="HJ436" s="457"/>
      <c r="HK436" s="457"/>
      <c r="HL436" s="457"/>
      <c r="HM436" s="457"/>
      <c r="HN436" s="457"/>
      <c r="HO436" s="457"/>
      <c r="HP436" s="457"/>
      <c r="HQ436" s="457"/>
      <c r="HR436" s="457"/>
      <c r="HS436" s="457"/>
      <c r="HT436" s="457"/>
      <c r="HU436" s="457"/>
      <c r="HV436" s="457"/>
      <c r="HW436" s="457"/>
      <c r="HX436" s="457"/>
      <c r="HY436" s="457"/>
      <c r="HZ436" s="457"/>
      <c r="IA436" s="457"/>
      <c r="IB436" s="457"/>
      <c r="IC436" s="457"/>
      <c r="ID436" s="457"/>
      <c r="IE436" s="457"/>
      <c r="IF436" s="457"/>
      <c r="IG436" s="457"/>
      <c r="IH436" s="457"/>
      <c r="II436" s="457"/>
      <c r="IJ436" s="457"/>
      <c r="IK436" s="457"/>
      <c r="IL436" s="457"/>
      <c r="IM436" s="457"/>
      <c r="IN436" s="457"/>
      <c r="IO436" s="457"/>
      <c r="IP436" s="457"/>
      <c r="IQ436" s="457"/>
      <c r="IR436" s="457"/>
      <c r="IS436" s="457"/>
      <c r="IT436" s="457"/>
      <c r="IU436" s="457"/>
    </row>
    <row r="437" spans="1:255" s="12" customFormat="1" ht="30">
      <c r="A437" s="444"/>
      <c r="B437" s="452" t="s">
        <v>2851</v>
      </c>
      <c r="C437" s="453"/>
      <c r="D437" s="454"/>
      <c r="E437" s="455"/>
      <c r="F437" s="456"/>
      <c r="I437" s="457"/>
      <c r="J437" s="457"/>
      <c r="K437" s="457"/>
      <c r="L437" s="457"/>
      <c r="M437" s="457"/>
      <c r="N437" s="457"/>
      <c r="O437" s="457"/>
      <c r="P437" s="457"/>
      <c r="Q437" s="457"/>
      <c r="R437" s="457"/>
      <c r="S437" s="457"/>
      <c r="T437" s="457"/>
      <c r="U437" s="457"/>
      <c r="V437" s="457"/>
      <c r="W437" s="457"/>
      <c r="X437" s="457"/>
      <c r="Y437" s="457"/>
      <c r="Z437" s="457"/>
      <c r="AA437" s="457"/>
      <c r="AB437" s="457"/>
      <c r="AC437" s="457"/>
      <c r="AD437" s="457"/>
      <c r="AE437" s="457"/>
      <c r="AF437" s="457"/>
      <c r="AG437" s="457"/>
      <c r="AH437" s="457"/>
      <c r="AI437" s="457"/>
      <c r="AJ437" s="457"/>
      <c r="AK437" s="457"/>
      <c r="AL437" s="457"/>
      <c r="AM437" s="457"/>
      <c r="AN437" s="457"/>
      <c r="AO437" s="457"/>
      <c r="AP437" s="457"/>
      <c r="AQ437" s="457"/>
      <c r="AR437" s="457"/>
      <c r="AS437" s="457"/>
      <c r="AT437" s="457"/>
      <c r="AU437" s="457"/>
      <c r="AV437" s="457"/>
      <c r="AW437" s="457"/>
      <c r="AX437" s="457"/>
      <c r="AY437" s="457"/>
      <c r="AZ437" s="457"/>
      <c r="BA437" s="457"/>
      <c r="BB437" s="457"/>
      <c r="BC437" s="457"/>
      <c r="BD437" s="457"/>
      <c r="BE437" s="457"/>
      <c r="BF437" s="457"/>
      <c r="BG437" s="457"/>
      <c r="BH437" s="457"/>
      <c r="BI437" s="457"/>
      <c r="BJ437" s="457"/>
      <c r="BK437" s="457"/>
      <c r="BL437" s="457"/>
      <c r="BM437" s="457"/>
      <c r="BN437" s="457"/>
      <c r="BO437" s="457"/>
      <c r="BP437" s="457"/>
      <c r="BQ437" s="457"/>
      <c r="BR437" s="457"/>
      <c r="BS437" s="457"/>
      <c r="BT437" s="457"/>
      <c r="BU437" s="457"/>
      <c r="BV437" s="457"/>
      <c r="BW437" s="457"/>
      <c r="BX437" s="457"/>
      <c r="BY437" s="457"/>
      <c r="BZ437" s="457"/>
      <c r="CA437" s="457"/>
      <c r="CB437" s="457"/>
      <c r="CC437" s="457"/>
      <c r="CD437" s="457"/>
      <c r="CE437" s="457"/>
      <c r="CF437" s="457"/>
      <c r="CG437" s="457"/>
      <c r="CH437" s="457"/>
      <c r="CI437" s="457"/>
      <c r="CJ437" s="457"/>
      <c r="CK437" s="457"/>
      <c r="CL437" s="457"/>
      <c r="CM437" s="457"/>
      <c r="CN437" s="457"/>
      <c r="CO437" s="457"/>
      <c r="CP437" s="457"/>
      <c r="CQ437" s="457"/>
      <c r="CR437" s="457"/>
      <c r="CS437" s="457"/>
      <c r="CT437" s="457"/>
      <c r="CU437" s="457"/>
      <c r="CV437" s="457"/>
      <c r="CW437" s="457"/>
      <c r="CX437" s="457"/>
      <c r="CY437" s="457"/>
      <c r="CZ437" s="457"/>
      <c r="DA437" s="457"/>
      <c r="DB437" s="457"/>
      <c r="DC437" s="457"/>
      <c r="DD437" s="457"/>
      <c r="DE437" s="457"/>
      <c r="DF437" s="457"/>
      <c r="DG437" s="457"/>
      <c r="DH437" s="457"/>
      <c r="DI437" s="457"/>
      <c r="DJ437" s="457"/>
      <c r="DK437" s="457"/>
      <c r="DL437" s="457"/>
      <c r="DM437" s="457"/>
      <c r="DN437" s="457"/>
      <c r="DO437" s="457"/>
      <c r="DP437" s="457"/>
      <c r="DQ437" s="457"/>
      <c r="DR437" s="457"/>
      <c r="DS437" s="457"/>
      <c r="DT437" s="457"/>
      <c r="DU437" s="457"/>
      <c r="DV437" s="457"/>
      <c r="DW437" s="457"/>
      <c r="DX437" s="457"/>
      <c r="DY437" s="457"/>
      <c r="DZ437" s="457"/>
      <c r="EA437" s="457"/>
      <c r="EB437" s="457"/>
      <c r="EC437" s="457"/>
      <c r="ED437" s="457"/>
      <c r="EE437" s="457"/>
      <c r="EF437" s="457"/>
      <c r="EG437" s="457"/>
      <c r="EH437" s="457"/>
      <c r="EI437" s="457"/>
      <c r="EJ437" s="457"/>
      <c r="EK437" s="457"/>
      <c r="EL437" s="457"/>
      <c r="EM437" s="457"/>
      <c r="EN437" s="457"/>
      <c r="EO437" s="457"/>
      <c r="EP437" s="457"/>
      <c r="EQ437" s="457"/>
      <c r="ER437" s="457"/>
      <c r="ES437" s="457"/>
      <c r="ET437" s="457"/>
      <c r="EU437" s="457"/>
      <c r="EV437" s="457"/>
      <c r="EW437" s="457"/>
      <c r="EX437" s="457"/>
      <c r="EY437" s="457"/>
      <c r="EZ437" s="457"/>
      <c r="FA437" s="457"/>
      <c r="FB437" s="457"/>
      <c r="FC437" s="457"/>
      <c r="FD437" s="457"/>
      <c r="FE437" s="457"/>
      <c r="FF437" s="457"/>
      <c r="FG437" s="457"/>
      <c r="FH437" s="457"/>
      <c r="FI437" s="457"/>
      <c r="FJ437" s="457"/>
      <c r="FK437" s="457"/>
      <c r="FL437" s="457"/>
      <c r="FM437" s="457"/>
      <c r="FN437" s="457"/>
      <c r="FO437" s="457"/>
      <c r="FP437" s="457"/>
      <c r="FQ437" s="457"/>
      <c r="FR437" s="457"/>
      <c r="FS437" s="457"/>
      <c r="FT437" s="457"/>
      <c r="FU437" s="457"/>
      <c r="FV437" s="457"/>
      <c r="FW437" s="457"/>
      <c r="FX437" s="457"/>
      <c r="FY437" s="457"/>
      <c r="FZ437" s="457"/>
      <c r="GA437" s="457"/>
      <c r="GB437" s="457"/>
      <c r="GC437" s="457"/>
      <c r="GD437" s="457"/>
      <c r="GE437" s="457"/>
      <c r="GF437" s="457"/>
      <c r="GG437" s="457"/>
      <c r="GH437" s="457"/>
      <c r="GI437" s="457"/>
      <c r="GJ437" s="457"/>
      <c r="GK437" s="457"/>
      <c r="GL437" s="457"/>
      <c r="GM437" s="457"/>
      <c r="GN437" s="457"/>
      <c r="GO437" s="457"/>
      <c r="GP437" s="457"/>
      <c r="GQ437" s="457"/>
      <c r="GR437" s="457"/>
      <c r="GS437" s="457"/>
      <c r="GT437" s="457"/>
      <c r="GU437" s="457"/>
      <c r="GV437" s="457"/>
      <c r="GW437" s="457"/>
      <c r="GX437" s="457"/>
      <c r="GY437" s="457"/>
      <c r="GZ437" s="457"/>
      <c r="HA437" s="457"/>
      <c r="HB437" s="457"/>
      <c r="HC437" s="457"/>
      <c r="HD437" s="457"/>
      <c r="HE437" s="457"/>
      <c r="HF437" s="457"/>
      <c r="HG437" s="457"/>
      <c r="HH437" s="457"/>
      <c r="HI437" s="457"/>
      <c r="HJ437" s="457"/>
      <c r="HK437" s="457"/>
      <c r="HL437" s="457"/>
      <c r="HM437" s="457"/>
      <c r="HN437" s="457"/>
      <c r="HO437" s="457"/>
      <c r="HP437" s="457"/>
      <c r="HQ437" s="457"/>
      <c r="HR437" s="457"/>
      <c r="HS437" s="457"/>
      <c r="HT437" s="457"/>
      <c r="HU437" s="457"/>
      <c r="HV437" s="457"/>
      <c r="HW437" s="457"/>
      <c r="HX437" s="457"/>
      <c r="HY437" s="457"/>
      <c r="HZ437" s="457"/>
      <c r="IA437" s="457"/>
      <c r="IB437" s="457"/>
      <c r="IC437" s="457"/>
      <c r="ID437" s="457"/>
      <c r="IE437" s="457"/>
      <c r="IF437" s="457"/>
      <c r="IG437" s="457"/>
      <c r="IH437" s="457"/>
      <c r="II437" s="457"/>
      <c r="IJ437" s="457"/>
      <c r="IK437" s="457"/>
      <c r="IL437" s="457"/>
      <c r="IM437" s="457"/>
      <c r="IN437" s="457"/>
      <c r="IO437" s="457"/>
      <c r="IP437" s="457"/>
      <c r="IQ437" s="457"/>
      <c r="IR437" s="457"/>
      <c r="IS437" s="457"/>
      <c r="IT437" s="457"/>
      <c r="IU437" s="457"/>
    </row>
    <row r="438" spans="1:255" s="12" customFormat="1" ht="30">
      <c r="A438" s="444"/>
      <c r="B438" s="452" t="s">
        <v>2852</v>
      </c>
      <c r="C438" s="453"/>
      <c r="D438" s="454"/>
      <c r="E438" s="455"/>
      <c r="F438" s="456"/>
      <c r="I438" s="457"/>
      <c r="J438" s="457"/>
      <c r="K438" s="457"/>
      <c r="L438" s="457"/>
      <c r="M438" s="457"/>
      <c r="N438" s="457"/>
      <c r="O438" s="457"/>
      <c r="P438" s="457"/>
      <c r="Q438" s="457"/>
      <c r="R438" s="457"/>
      <c r="S438" s="457"/>
      <c r="T438" s="457"/>
      <c r="U438" s="457"/>
      <c r="V438" s="457"/>
      <c r="W438" s="457"/>
      <c r="X438" s="457"/>
      <c r="Y438" s="457"/>
      <c r="Z438" s="457"/>
      <c r="AA438" s="457"/>
      <c r="AB438" s="457"/>
      <c r="AC438" s="457"/>
      <c r="AD438" s="457"/>
      <c r="AE438" s="457"/>
      <c r="AF438" s="457"/>
      <c r="AG438" s="457"/>
      <c r="AH438" s="457"/>
      <c r="AI438" s="457"/>
      <c r="AJ438" s="457"/>
      <c r="AK438" s="457"/>
      <c r="AL438" s="457"/>
      <c r="AM438" s="457"/>
      <c r="AN438" s="457"/>
      <c r="AO438" s="457"/>
      <c r="AP438" s="457"/>
      <c r="AQ438" s="457"/>
      <c r="AR438" s="457"/>
      <c r="AS438" s="457"/>
      <c r="AT438" s="457"/>
      <c r="AU438" s="457"/>
      <c r="AV438" s="457"/>
      <c r="AW438" s="457"/>
      <c r="AX438" s="457"/>
      <c r="AY438" s="457"/>
      <c r="AZ438" s="457"/>
      <c r="BA438" s="457"/>
      <c r="BB438" s="457"/>
      <c r="BC438" s="457"/>
      <c r="BD438" s="457"/>
      <c r="BE438" s="457"/>
      <c r="BF438" s="457"/>
      <c r="BG438" s="457"/>
      <c r="BH438" s="457"/>
      <c r="BI438" s="457"/>
      <c r="BJ438" s="457"/>
      <c r="BK438" s="457"/>
      <c r="BL438" s="457"/>
      <c r="BM438" s="457"/>
      <c r="BN438" s="457"/>
      <c r="BO438" s="457"/>
      <c r="BP438" s="457"/>
      <c r="BQ438" s="457"/>
      <c r="BR438" s="457"/>
      <c r="BS438" s="457"/>
      <c r="BT438" s="457"/>
      <c r="BU438" s="457"/>
      <c r="BV438" s="457"/>
      <c r="BW438" s="457"/>
      <c r="BX438" s="457"/>
      <c r="BY438" s="457"/>
      <c r="BZ438" s="457"/>
      <c r="CA438" s="457"/>
      <c r="CB438" s="457"/>
      <c r="CC438" s="457"/>
      <c r="CD438" s="457"/>
      <c r="CE438" s="457"/>
      <c r="CF438" s="457"/>
      <c r="CG438" s="457"/>
      <c r="CH438" s="457"/>
      <c r="CI438" s="457"/>
      <c r="CJ438" s="457"/>
      <c r="CK438" s="457"/>
      <c r="CL438" s="457"/>
      <c r="CM438" s="457"/>
      <c r="CN438" s="457"/>
      <c r="CO438" s="457"/>
      <c r="CP438" s="457"/>
      <c r="CQ438" s="457"/>
      <c r="CR438" s="457"/>
      <c r="CS438" s="457"/>
      <c r="CT438" s="457"/>
      <c r="CU438" s="457"/>
      <c r="CV438" s="457"/>
      <c r="CW438" s="457"/>
      <c r="CX438" s="457"/>
      <c r="CY438" s="457"/>
      <c r="CZ438" s="457"/>
      <c r="DA438" s="457"/>
      <c r="DB438" s="457"/>
      <c r="DC438" s="457"/>
      <c r="DD438" s="457"/>
      <c r="DE438" s="457"/>
      <c r="DF438" s="457"/>
      <c r="DG438" s="457"/>
      <c r="DH438" s="457"/>
      <c r="DI438" s="457"/>
      <c r="DJ438" s="457"/>
      <c r="DK438" s="457"/>
      <c r="DL438" s="457"/>
      <c r="DM438" s="457"/>
      <c r="DN438" s="457"/>
      <c r="DO438" s="457"/>
      <c r="DP438" s="457"/>
      <c r="DQ438" s="457"/>
      <c r="DR438" s="457"/>
      <c r="DS438" s="457"/>
      <c r="DT438" s="457"/>
      <c r="DU438" s="457"/>
      <c r="DV438" s="457"/>
      <c r="DW438" s="457"/>
      <c r="DX438" s="457"/>
      <c r="DY438" s="457"/>
      <c r="DZ438" s="457"/>
      <c r="EA438" s="457"/>
      <c r="EB438" s="457"/>
      <c r="EC438" s="457"/>
      <c r="ED438" s="457"/>
      <c r="EE438" s="457"/>
      <c r="EF438" s="457"/>
      <c r="EG438" s="457"/>
      <c r="EH438" s="457"/>
      <c r="EI438" s="457"/>
      <c r="EJ438" s="457"/>
      <c r="EK438" s="457"/>
      <c r="EL438" s="457"/>
      <c r="EM438" s="457"/>
      <c r="EN438" s="457"/>
      <c r="EO438" s="457"/>
      <c r="EP438" s="457"/>
      <c r="EQ438" s="457"/>
      <c r="ER438" s="457"/>
      <c r="ES438" s="457"/>
      <c r="ET438" s="457"/>
      <c r="EU438" s="457"/>
      <c r="EV438" s="457"/>
      <c r="EW438" s="457"/>
      <c r="EX438" s="457"/>
      <c r="EY438" s="457"/>
      <c r="EZ438" s="457"/>
      <c r="FA438" s="457"/>
      <c r="FB438" s="457"/>
      <c r="FC438" s="457"/>
      <c r="FD438" s="457"/>
      <c r="FE438" s="457"/>
      <c r="FF438" s="457"/>
      <c r="FG438" s="457"/>
      <c r="FH438" s="457"/>
      <c r="FI438" s="457"/>
      <c r="FJ438" s="457"/>
      <c r="FK438" s="457"/>
      <c r="FL438" s="457"/>
      <c r="FM438" s="457"/>
      <c r="FN438" s="457"/>
      <c r="FO438" s="457"/>
      <c r="FP438" s="457"/>
      <c r="FQ438" s="457"/>
      <c r="FR438" s="457"/>
      <c r="FS438" s="457"/>
      <c r="FT438" s="457"/>
      <c r="FU438" s="457"/>
      <c r="FV438" s="457"/>
      <c r="FW438" s="457"/>
      <c r="FX438" s="457"/>
      <c r="FY438" s="457"/>
      <c r="FZ438" s="457"/>
      <c r="GA438" s="457"/>
      <c r="GB438" s="457"/>
      <c r="GC438" s="457"/>
      <c r="GD438" s="457"/>
      <c r="GE438" s="457"/>
      <c r="GF438" s="457"/>
      <c r="GG438" s="457"/>
      <c r="GH438" s="457"/>
      <c r="GI438" s="457"/>
      <c r="GJ438" s="457"/>
      <c r="GK438" s="457"/>
      <c r="GL438" s="457"/>
      <c r="GM438" s="457"/>
      <c r="GN438" s="457"/>
      <c r="GO438" s="457"/>
      <c r="GP438" s="457"/>
      <c r="GQ438" s="457"/>
      <c r="GR438" s="457"/>
      <c r="GS438" s="457"/>
      <c r="GT438" s="457"/>
      <c r="GU438" s="457"/>
      <c r="GV438" s="457"/>
      <c r="GW438" s="457"/>
      <c r="GX438" s="457"/>
      <c r="GY438" s="457"/>
      <c r="GZ438" s="457"/>
      <c r="HA438" s="457"/>
      <c r="HB438" s="457"/>
      <c r="HC438" s="457"/>
      <c r="HD438" s="457"/>
      <c r="HE438" s="457"/>
      <c r="HF438" s="457"/>
      <c r="HG438" s="457"/>
      <c r="HH438" s="457"/>
      <c r="HI438" s="457"/>
      <c r="HJ438" s="457"/>
      <c r="HK438" s="457"/>
      <c r="HL438" s="457"/>
      <c r="HM438" s="457"/>
      <c r="HN438" s="457"/>
      <c r="HO438" s="457"/>
      <c r="HP438" s="457"/>
      <c r="HQ438" s="457"/>
      <c r="HR438" s="457"/>
      <c r="HS438" s="457"/>
      <c r="HT438" s="457"/>
      <c r="HU438" s="457"/>
      <c r="HV438" s="457"/>
      <c r="HW438" s="457"/>
      <c r="HX438" s="457"/>
      <c r="HY438" s="457"/>
      <c r="HZ438" s="457"/>
      <c r="IA438" s="457"/>
      <c r="IB438" s="457"/>
      <c r="IC438" s="457"/>
      <c r="ID438" s="457"/>
      <c r="IE438" s="457"/>
      <c r="IF438" s="457"/>
      <c r="IG438" s="457"/>
      <c r="IH438" s="457"/>
      <c r="II438" s="457"/>
      <c r="IJ438" s="457"/>
      <c r="IK438" s="457"/>
      <c r="IL438" s="457"/>
      <c r="IM438" s="457"/>
      <c r="IN438" s="457"/>
      <c r="IO438" s="457"/>
      <c r="IP438" s="457"/>
      <c r="IQ438" s="457"/>
      <c r="IR438" s="457"/>
      <c r="IS438" s="457"/>
      <c r="IT438" s="457"/>
      <c r="IU438" s="457"/>
    </row>
    <row r="439" spans="1:255" s="12" customFormat="1" ht="240">
      <c r="A439" s="444"/>
      <c r="B439" s="458" t="s">
        <v>2853</v>
      </c>
      <c r="C439" s="453"/>
      <c r="D439" s="454"/>
      <c r="E439" s="455"/>
      <c r="F439" s="456"/>
      <c r="I439" s="457"/>
      <c r="J439" s="457"/>
      <c r="K439" s="457"/>
      <c r="L439" s="457"/>
      <c r="M439" s="457"/>
      <c r="N439" s="457"/>
      <c r="O439" s="457"/>
      <c r="P439" s="457"/>
      <c r="Q439" s="457"/>
      <c r="R439" s="457"/>
      <c r="S439" s="457"/>
      <c r="T439" s="457"/>
      <c r="U439" s="457"/>
      <c r="V439" s="457"/>
      <c r="W439" s="457"/>
      <c r="X439" s="457"/>
      <c r="Y439" s="457"/>
      <c r="Z439" s="457"/>
      <c r="AA439" s="457"/>
      <c r="AB439" s="457"/>
      <c r="AC439" s="457"/>
      <c r="AD439" s="457"/>
      <c r="AE439" s="457"/>
      <c r="AF439" s="457"/>
      <c r="AG439" s="457"/>
      <c r="AH439" s="457"/>
      <c r="AI439" s="457"/>
      <c r="AJ439" s="457"/>
      <c r="AK439" s="457"/>
      <c r="AL439" s="457"/>
      <c r="AM439" s="457"/>
      <c r="AN439" s="457"/>
      <c r="AO439" s="457"/>
      <c r="AP439" s="457"/>
      <c r="AQ439" s="457"/>
      <c r="AR439" s="457"/>
      <c r="AS439" s="457"/>
      <c r="AT439" s="457"/>
      <c r="AU439" s="457"/>
      <c r="AV439" s="457"/>
      <c r="AW439" s="457"/>
      <c r="AX439" s="457"/>
      <c r="AY439" s="457"/>
      <c r="AZ439" s="457"/>
      <c r="BA439" s="457"/>
      <c r="BB439" s="457"/>
      <c r="BC439" s="457"/>
      <c r="BD439" s="457"/>
      <c r="BE439" s="457"/>
      <c r="BF439" s="457"/>
      <c r="BG439" s="457"/>
      <c r="BH439" s="457"/>
      <c r="BI439" s="457"/>
      <c r="BJ439" s="457"/>
      <c r="BK439" s="457"/>
      <c r="BL439" s="457"/>
      <c r="BM439" s="457"/>
      <c r="BN439" s="457"/>
      <c r="BO439" s="457"/>
      <c r="BP439" s="457"/>
      <c r="BQ439" s="457"/>
      <c r="BR439" s="457"/>
      <c r="BS439" s="457"/>
      <c r="BT439" s="457"/>
      <c r="BU439" s="457"/>
      <c r="BV439" s="457"/>
      <c r="BW439" s="457"/>
      <c r="BX439" s="457"/>
      <c r="BY439" s="457"/>
      <c r="BZ439" s="457"/>
      <c r="CA439" s="457"/>
      <c r="CB439" s="457"/>
      <c r="CC439" s="457"/>
      <c r="CD439" s="457"/>
      <c r="CE439" s="457"/>
      <c r="CF439" s="457"/>
      <c r="CG439" s="457"/>
      <c r="CH439" s="457"/>
      <c r="CI439" s="457"/>
      <c r="CJ439" s="457"/>
      <c r="CK439" s="457"/>
      <c r="CL439" s="457"/>
      <c r="CM439" s="457"/>
      <c r="CN439" s="457"/>
      <c r="CO439" s="457"/>
      <c r="CP439" s="457"/>
      <c r="CQ439" s="457"/>
      <c r="CR439" s="457"/>
      <c r="CS439" s="457"/>
      <c r="CT439" s="457"/>
      <c r="CU439" s="457"/>
      <c r="CV439" s="457"/>
      <c r="CW439" s="457"/>
      <c r="CX439" s="457"/>
      <c r="CY439" s="457"/>
      <c r="CZ439" s="457"/>
      <c r="DA439" s="457"/>
      <c r="DB439" s="457"/>
      <c r="DC439" s="457"/>
      <c r="DD439" s="457"/>
      <c r="DE439" s="457"/>
      <c r="DF439" s="457"/>
      <c r="DG439" s="457"/>
      <c r="DH439" s="457"/>
      <c r="DI439" s="457"/>
      <c r="DJ439" s="457"/>
      <c r="DK439" s="457"/>
      <c r="DL439" s="457"/>
      <c r="DM439" s="457"/>
      <c r="DN439" s="457"/>
      <c r="DO439" s="457"/>
      <c r="DP439" s="457"/>
      <c r="DQ439" s="457"/>
      <c r="DR439" s="457"/>
      <c r="DS439" s="457"/>
      <c r="DT439" s="457"/>
      <c r="DU439" s="457"/>
      <c r="DV439" s="457"/>
      <c r="DW439" s="457"/>
      <c r="DX439" s="457"/>
      <c r="DY439" s="457"/>
      <c r="DZ439" s="457"/>
      <c r="EA439" s="457"/>
      <c r="EB439" s="457"/>
      <c r="EC439" s="457"/>
      <c r="ED439" s="457"/>
      <c r="EE439" s="457"/>
      <c r="EF439" s="457"/>
      <c r="EG439" s="457"/>
      <c r="EH439" s="457"/>
      <c r="EI439" s="457"/>
      <c r="EJ439" s="457"/>
      <c r="EK439" s="457"/>
      <c r="EL439" s="457"/>
      <c r="EM439" s="457"/>
      <c r="EN439" s="457"/>
      <c r="EO439" s="457"/>
      <c r="EP439" s="457"/>
      <c r="EQ439" s="457"/>
      <c r="ER439" s="457"/>
      <c r="ES439" s="457"/>
      <c r="ET439" s="457"/>
      <c r="EU439" s="457"/>
      <c r="EV439" s="457"/>
      <c r="EW439" s="457"/>
      <c r="EX439" s="457"/>
      <c r="EY439" s="457"/>
      <c r="EZ439" s="457"/>
      <c r="FA439" s="457"/>
      <c r="FB439" s="457"/>
      <c r="FC439" s="457"/>
      <c r="FD439" s="457"/>
      <c r="FE439" s="457"/>
      <c r="FF439" s="457"/>
      <c r="FG439" s="457"/>
      <c r="FH439" s="457"/>
      <c r="FI439" s="457"/>
      <c r="FJ439" s="457"/>
      <c r="FK439" s="457"/>
      <c r="FL439" s="457"/>
      <c r="FM439" s="457"/>
      <c r="FN439" s="457"/>
      <c r="FO439" s="457"/>
      <c r="FP439" s="457"/>
      <c r="FQ439" s="457"/>
      <c r="FR439" s="457"/>
      <c r="FS439" s="457"/>
      <c r="FT439" s="457"/>
      <c r="FU439" s="457"/>
      <c r="FV439" s="457"/>
      <c r="FW439" s="457"/>
      <c r="FX439" s="457"/>
      <c r="FY439" s="457"/>
      <c r="FZ439" s="457"/>
      <c r="GA439" s="457"/>
      <c r="GB439" s="457"/>
      <c r="GC439" s="457"/>
      <c r="GD439" s="457"/>
      <c r="GE439" s="457"/>
      <c r="GF439" s="457"/>
      <c r="GG439" s="457"/>
      <c r="GH439" s="457"/>
      <c r="GI439" s="457"/>
      <c r="GJ439" s="457"/>
      <c r="GK439" s="457"/>
      <c r="GL439" s="457"/>
      <c r="GM439" s="457"/>
      <c r="GN439" s="457"/>
      <c r="GO439" s="457"/>
      <c r="GP439" s="457"/>
      <c r="GQ439" s="457"/>
      <c r="GR439" s="457"/>
      <c r="GS439" s="457"/>
      <c r="GT439" s="457"/>
      <c r="GU439" s="457"/>
      <c r="GV439" s="457"/>
      <c r="GW439" s="457"/>
      <c r="GX439" s="457"/>
      <c r="GY439" s="457"/>
      <c r="GZ439" s="457"/>
      <c r="HA439" s="457"/>
      <c r="HB439" s="457"/>
      <c r="HC439" s="457"/>
      <c r="HD439" s="457"/>
      <c r="HE439" s="457"/>
      <c r="HF439" s="457"/>
      <c r="HG439" s="457"/>
      <c r="HH439" s="457"/>
      <c r="HI439" s="457"/>
      <c r="HJ439" s="457"/>
      <c r="HK439" s="457"/>
      <c r="HL439" s="457"/>
      <c r="HM439" s="457"/>
      <c r="HN439" s="457"/>
      <c r="HO439" s="457"/>
      <c r="HP439" s="457"/>
      <c r="HQ439" s="457"/>
      <c r="HR439" s="457"/>
      <c r="HS439" s="457"/>
      <c r="HT439" s="457"/>
      <c r="HU439" s="457"/>
      <c r="HV439" s="457"/>
      <c r="HW439" s="457"/>
      <c r="HX439" s="457"/>
      <c r="HY439" s="457"/>
      <c r="HZ439" s="457"/>
      <c r="IA439" s="457"/>
      <c r="IB439" s="457"/>
      <c r="IC439" s="457"/>
      <c r="ID439" s="457"/>
      <c r="IE439" s="457"/>
      <c r="IF439" s="457"/>
      <c r="IG439" s="457"/>
      <c r="IH439" s="457"/>
      <c r="II439" s="457"/>
      <c r="IJ439" s="457"/>
      <c r="IK439" s="457"/>
      <c r="IL439" s="457"/>
      <c r="IM439" s="457"/>
      <c r="IN439" s="457"/>
      <c r="IO439" s="457"/>
      <c r="IP439" s="457"/>
      <c r="IQ439" s="457"/>
      <c r="IR439" s="457"/>
      <c r="IS439" s="457"/>
      <c r="IT439" s="457"/>
      <c r="IU439" s="457"/>
    </row>
    <row r="440" spans="1:255" s="12" customFormat="1" ht="30">
      <c r="A440" s="444"/>
      <c r="B440" s="452" t="s">
        <v>2854</v>
      </c>
      <c r="C440" s="453"/>
      <c r="D440" s="454"/>
      <c r="E440" s="455"/>
      <c r="F440" s="456"/>
      <c r="I440" s="457"/>
      <c r="J440" s="457"/>
      <c r="K440" s="457"/>
      <c r="L440" s="457"/>
      <c r="M440" s="457"/>
      <c r="N440" s="457"/>
      <c r="O440" s="457"/>
      <c r="P440" s="457"/>
      <c r="Q440" s="457"/>
      <c r="R440" s="457"/>
      <c r="S440" s="457"/>
      <c r="T440" s="457"/>
      <c r="U440" s="457"/>
      <c r="V440" s="457"/>
      <c r="W440" s="457"/>
      <c r="X440" s="457"/>
      <c r="Y440" s="457"/>
      <c r="Z440" s="457"/>
      <c r="AA440" s="457"/>
      <c r="AB440" s="457"/>
      <c r="AC440" s="457"/>
      <c r="AD440" s="457"/>
      <c r="AE440" s="457"/>
      <c r="AF440" s="457"/>
      <c r="AG440" s="457"/>
      <c r="AH440" s="457"/>
      <c r="AI440" s="457"/>
      <c r="AJ440" s="457"/>
      <c r="AK440" s="457"/>
      <c r="AL440" s="457"/>
      <c r="AM440" s="457"/>
      <c r="AN440" s="457"/>
      <c r="AO440" s="457"/>
      <c r="AP440" s="457"/>
      <c r="AQ440" s="457"/>
      <c r="AR440" s="457"/>
      <c r="AS440" s="457"/>
      <c r="AT440" s="457"/>
      <c r="AU440" s="457"/>
      <c r="AV440" s="457"/>
      <c r="AW440" s="457"/>
      <c r="AX440" s="457"/>
      <c r="AY440" s="457"/>
      <c r="AZ440" s="457"/>
      <c r="BA440" s="457"/>
      <c r="BB440" s="457"/>
      <c r="BC440" s="457"/>
      <c r="BD440" s="457"/>
      <c r="BE440" s="457"/>
      <c r="BF440" s="457"/>
      <c r="BG440" s="457"/>
      <c r="BH440" s="457"/>
      <c r="BI440" s="457"/>
      <c r="BJ440" s="457"/>
      <c r="BK440" s="457"/>
      <c r="BL440" s="457"/>
      <c r="BM440" s="457"/>
      <c r="BN440" s="457"/>
      <c r="BO440" s="457"/>
      <c r="BP440" s="457"/>
      <c r="BQ440" s="457"/>
      <c r="BR440" s="457"/>
      <c r="BS440" s="457"/>
      <c r="BT440" s="457"/>
      <c r="BU440" s="457"/>
      <c r="BV440" s="457"/>
      <c r="BW440" s="457"/>
      <c r="BX440" s="457"/>
      <c r="BY440" s="457"/>
      <c r="BZ440" s="457"/>
      <c r="CA440" s="457"/>
      <c r="CB440" s="457"/>
      <c r="CC440" s="457"/>
      <c r="CD440" s="457"/>
      <c r="CE440" s="457"/>
      <c r="CF440" s="457"/>
      <c r="CG440" s="457"/>
      <c r="CH440" s="457"/>
      <c r="CI440" s="457"/>
      <c r="CJ440" s="457"/>
      <c r="CK440" s="457"/>
      <c r="CL440" s="457"/>
      <c r="CM440" s="457"/>
      <c r="CN440" s="457"/>
      <c r="CO440" s="457"/>
      <c r="CP440" s="457"/>
      <c r="CQ440" s="457"/>
      <c r="CR440" s="457"/>
      <c r="CS440" s="457"/>
      <c r="CT440" s="457"/>
      <c r="CU440" s="457"/>
      <c r="CV440" s="457"/>
      <c r="CW440" s="457"/>
      <c r="CX440" s="457"/>
      <c r="CY440" s="457"/>
      <c r="CZ440" s="457"/>
      <c r="DA440" s="457"/>
      <c r="DB440" s="457"/>
      <c r="DC440" s="457"/>
      <c r="DD440" s="457"/>
      <c r="DE440" s="457"/>
      <c r="DF440" s="457"/>
      <c r="DG440" s="457"/>
      <c r="DH440" s="457"/>
      <c r="DI440" s="457"/>
      <c r="DJ440" s="457"/>
      <c r="DK440" s="457"/>
      <c r="DL440" s="457"/>
      <c r="DM440" s="457"/>
      <c r="DN440" s="457"/>
      <c r="DO440" s="457"/>
      <c r="DP440" s="457"/>
      <c r="DQ440" s="457"/>
      <c r="DR440" s="457"/>
      <c r="DS440" s="457"/>
      <c r="DT440" s="457"/>
      <c r="DU440" s="457"/>
      <c r="DV440" s="457"/>
      <c r="DW440" s="457"/>
      <c r="DX440" s="457"/>
      <c r="DY440" s="457"/>
      <c r="DZ440" s="457"/>
      <c r="EA440" s="457"/>
      <c r="EB440" s="457"/>
      <c r="EC440" s="457"/>
      <c r="ED440" s="457"/>
      <c r="EE440" s="457"/>
      <c r="EF440" s="457"/>
      <c r="EG440" s="457"/>
      <c r="EH440" s="457"/>
      <c r="EI440" s="457"/>
      <c r="EJ440" s="457"/>
      <c r="EK440" s="457"/>
      <c r="EL440" s="457"/>
      <c r="EM440" s="457"/>
      <c r="EN440" s="457"/>
      <c r="EO440" s="457"/>
      <c r="EP440" s="457"/>
      <c r="EQ440" s="457"/>
      <c r="ER440" s="457"/>
      <c r="ES440" s="457"/>
      <c r="ET440" s="457"/>
      <c r="EU440" s="457"/>
      <c r="EV440" s="457"/>
      <c r="EW440" s="457"/>
      <c r="EX440" s="457"/>
      <c r="EY440" s="457"/>
      <c r="EZ440" s="457"/>
      <c r="FA440" s="457"/>
      <c r="FB440" s="457"/>
      <c r="FC440" s="457"/>
      <c r="FD440" s="457"/>
      <c r="FE440" s="457"/>
      <c r="FF440" s="457"/>
      <c r="FG440" s="457"/>
      <c r="FH440" s="457"/>
      <c r="FI440" s="457"/>
      <c r="FJ440" s="457"/>
      <c r="FK440" s="457"/>
      <c r="FL440" s="457"/>
      <c r="FM440" s="457"/>
      <c r="FN440" s="457"/>
      <c r="FO440" s="457"/>
      <c r="FP440" s="457"/>
      <c r="FQ440" s="457"/>
      <c r="FR440" s="457"/>
      <c r="FS440" s="457"/>
      <c r="FT440" s="457"/>
      <c r="FU440" s="457"/>
      <c r="FV440" s="457"/>
      <c r="FW440" s="457"/>
      <c r="FX440" s="457"/>
      <c r="FY440" s="457"/>
      <c r="FZ440" s="457"/>
      <c r="GA440" s="457"/>
      <c r="GB440" s="457"/>
      <c r="GC440" s="457"/>
      <c r="GD440" s="457"/>
      <c r="GE440" s="457"/>
      <c r="GF440" s="457"/>
      <c r="GG440" s="457"/>
      <c r="GH440" s="457"/>
      <c r="GI440" s="457"/>
      <c r="GJ440" s="457"/>
      <c r="GK440" s="457"/>
      <c r="GL440" s="457"/>
      <c r="GM440" s="457"/>
      <c r="GN440" s="457"/>
      <c r="GO440" s="457"/>
      <c r="GP440" s="457"/>
      <c r="GQ440" s="457"/>
      <c r="GR440" s="457"/>
      <c r="GS440" s="457"/>
      <c r="GT440" s="457"/>
      <c r="GU440" s="457"/>
      <c r="GV440" s="457"/>
      <c r="GW440" s="457"/>
      <c r="GX440" s="457"/>
      <c r="GY440" s="457"/>
      <c r="GZ440" s="457"/>
      <c r="HA440" s="457"/>
      <c r="HB440" s="457"/>
      <c r="HC440" s="457"/>
      <c r="HD440" s="457"/>
      <c r="HE440" s="457"/>
      <c r="HF440" s="457"/>
      <c r="HG440" s="457"/>
      <c r="HH440" s="457"/>
      <c r="HI440" s="457"/>
      <c r="HJ440" s="457"/>
      <c r="HK440" s="457"/>
      <c r="HL440" s="457"/>
      <c r="HM440" s="457"/>
      <c r="HN440" s="457"/>
      <c r="HO440" s="457"/>
      <c r="HP440" s="457"/>
      <c r="HQ440" s="457"/>
      <c r="HR440" s="457"/>
      <c r="HS440" s="457"/>
      <c r="HT440" s="457"/>
      <c r="HU440" s="457"/>
      <c r="HV440" s="457"/>
      <c r="HW440" s="457"/>
      <c r="HX440" s="457"/>
      <c r="HY440" s="457"/>
      <c r="HZ440" s="457"/>
      <c r="IA440" s="457"/>
      <c r="IB440" s="457"/>
      <c r="IC440" s="457"/>
      <c r="ID440" s="457"/>
      <c r="IE440" s="457"/>
      <c r="IF440" s="457"/>
      <c r="IG440" s="457"/>
      <c r="IH440" s="457"/>
      <c r="II440" s="457"/>
      <c r="IJ440" s="457"/>
      <c r="IK440" s="457"/>
      <c r="IL440" s="457"/>
      <c r="IM440" s="457"/>
      <c r="IN440" s="457"/>
      <c r="IO440" s="457"/>
      <c r="IP440" s="457"/>
      <c r="IQ440" s="457"/>
      <c r="IR440" s="457"/>
      <c r="IS440" s="457"/>
      <c r="IT440" s="457"/>
      <c r="IU440" s="457"/>
    </row>
    <row r="441" spans="1:255" s="12" customFormat="1">
      <c r="A441" s="444"/>
      <c r="B441" s="458" t="s">
        <v>2855</v>
      </c>
      <c r="C441" s="453"/>
      <c r="D441" s="454"/>
      <c r="E441" s="455"/>
      <c r="F441" s="456"/>
      <c r="I441" s="457"/>
      <c r="J441" s="457"/>
      <c r="K441" s="457"/>
      <c r="L441" s="457"/>
      <c r="M441" s="457"/>
      <c r="N441" s="457"/>
      <c r="O441" s="457"/>
      <c r="P441" s="457"/>
      <c r="Q441" s="457"/>
      <c r="R441" s="457"/>
      <c r="S441" s="457"/>
      <c r="T441" s="457"/>
      <c r="U441" s="457"/>
      <c r="V441" s="457"/>
      <c r="W441" s="457"/>
      <c r="X441" s="457"/>
      <c r="Y441" s="457"/>
      <c r="Z441" s="457"/>
      <c r="AA441" s="457"/>
      <c r="AB441" s="457"/>
      <c r="AC441" s="457"/>
      <c r="AD441" s="457"/>
      <c r="AE441" s="457"/>
      <c r="AF441" s="457"/>
      <c r="AG441" s="457"/>
      <c r="AH441" s="457"/>
      <c r="AI441" s="457"/>
      <c r="AJ441" s="457"/>
      <c r="AK441" s="457"/>
      <c r="AL441" s="457"/>
      <c r="AM441" s="457"/>
      <c r="AN441" s="457"/>
      <c r="AO441" s="457"/>
      <c r="AP441" s="457"/>
      <c r="AQ441" s="457"/>
      <c r="AR441" s="457"/>
      <c r="AS441" s="457"/>
      <c r="AT441" s="457"/>
      <c r="AU441" s="457"/>
      <c r="AV441" s="457"/>
      <c r="AW441" s="457"/>
      <c r="AX441" s="457"/>
      <c r="AY441" s="457"/>
      <c r="AZ441" s="457"/>
      <c r="BA441" s="457"/>
      <c r="BB441" s="457"/>
      <c r="BC441" s="457"/>
      <c r="BD441" s="457"/>
      <c r="BE441" s="457"/>
      <c r="BF441" s="457"/>
      <c r="BG441" s="457"/>
      <c r="BH441" s="457"/>
      <c r="BI441" s="457"/>
      <c r="BJ441" s="457"/>
      <c r="BK441" s="457"/>
      <c r="BL441" s="457"/>
      <c r="BM441" s="457"/>
      <c r="BN441" s="457"/>
      <c r="BO441" s="457"/>
      <c r="BP441" s="457"/>
      <c r="BQ441" s="457"/>
      <c r="BR441" s="457"/>
      <c r="BS441" s="457"/>
      <c r="BT441" s="457"/>
      <c r="BU441" s="457"/>
      <c r="BV441" s="457"/>
      <c r="BW441" s="457"/>
      <c r="BX441" s="457"/>
      <c r="BY441" s="457"/>
      <c r="BZ441" s="457"/>
      <c r="CA441" s="457"/>
      <c r="CB441" s="457"/>
      <c r="CC441" s="457"/>
      <c r="CD441" s="457"/>
      <c r="CE441" s="457"/>
      <c r="CF441" s="457"/>
      <c r="CG441" s="457"/>
      <c r="CH441" s="457"/>
      <c r="CI441" s="457"/>
      <c r="CJ441" s="457"/>
      <c r="CK441" s="457"/>
      <c r="CL441" s="457"/>
      <c r="CM441" s="457"/>
      <c r="CN441" s="457"/>
      <c r="CO441" s="457"/>
      <c r="CP441" s="457"/>
      <c r="CQ441" s="457"/>
      <c r="CR441" s="457"/>
      <c r="CS441" s="457"/>
      <c r="CT441" s="457"/>
      <c r="CU441" s="457"/>
      <c r="CV441" s="457"/>
      <c r="CW441" s="457"/>
      <c r="CX441" s="457"/>
      <c r="CY441" s="457"/>
      <c r="CZ441" s="457"/>
      <c r="DA441" s="457"/>
      <c r="DB441" s="457"/>
      <c r="DC441" s="457"/>
      <c r="DD441" s="457"/>
      <c r="DE441" s="457"/>
      <c r="DF441" s="457"/>
      <c r="DG441" s="457"/>
      <c r="DH441" s="457"/>
      <c r="DI441" s="457"/>
      <c r="DJ441" s="457"/>
      <c r="DK441" s="457"/>
      <c r="DL441" s="457"/>
      <c r="DM441" s="457"/>
      <c r="DN441" s="457"/>
      <c r="DO441" s="457"/>
      <c r="DP441" s="457"/>
      <c r="DQ441" s="457"/>
      <c r="DR441" s="457"/>
      <c r="DS441" s="457"/>
      <c r="DT441" s="457"/>
      <c r="DU441" s="457"/>
      <c r="DV441" s="457"/>
      <c r="DW441" s="457"/>
      <c r="DX441" s="457"/>
      <c r="DY441" s="457"/>
      <c r="DZ441" s="457"/>
      <c r="EA441" s="457"/>
      <c r="EB441" s="457"/>
      <c r="EC441" s="457"/>
      <c r="ED441" s="457"/>
      <c r="EE441" s="457"/>
      <c r="EF441" s="457"/>
      <c r="EG441" s="457"/>
      <c r="EH441" s="457"/>
      <c r="EI441" s="457"/>
      <c r="EJ441" s="457"/>
      <c r="EK441" s="457"/>
      <c r="EL441" s="457"/>
      <c r="EM441" s="457"/>
      <c r="EN441" s="457"/>
      <c r="EO441" s="457"/>
      <c r="EP441" s="457"/>
      <c r="EQ441" s="457"/>
      <c r="ER441" s="457"/>
      <c r="ES441" s="457"/>
      <c r="ET441" s="457"/>
      <c r="EU441" s="457"/>
      <c r="EV441" s="457"/>
      <c r="EW441" s="457"/>
      <c r="EX441" s="457"/>
      <c r="EY441" s="457"/>
      <c r="EZ441" s="457"/>
      <c r="FA441" s="457"/>
      <c r="FB441" s="457"/>
      <c r="FC441" s="457"/>
      <c r="FD441" s="457"/>
      <c r="FE441" s="457"/>
      <c r="FF441" s="457"/>
      <c r="FG441" s="457"/>
      <c r="FH441" s="457"/>
      <c r="FI441" s="457"/>
      <c r="FJ441" s="457"/>
      <c r="FK441" s="457"/>
      <c r="FL441" s="457"/>
      <c r="FM441" s="457"/>
      <c r="FN441" s="457"/>
      <c r="FO441" s="457"/>
      <c r="FP441" s="457"/>
      <c r="FQ441" s="457"/>
      <c r="FR441" s="457"/>
      <c r="FS441" s="457"/>
      <c r="FT441" s="457"/>
      <c r="FU441" s="457"/>
      <c r="FV441" s="457"/>
      <c r="FW441" s="457"/>
      <c r="FX441" s="457"/>
      <c r="FY441" s="457"/>
      <c r="FZ441" s="457"/>
      <c r="GA441" s="457"/>
      <c r="GB441" s="457"/>
      <c r="GC441" s="457"/>
      <c r="GD441" s="457"/>
      <c r="GE441" s="457"/>
      <c r="GF441" s="457"/>
      <c r="GG441" s="457"/>
      <c r="GH441" s="457"/>
      <c r="GI441" s="457"/>
      <c r="GJ441" s="457"/>
      <c r="GK441" s="457"/>
      <c r="GL441" s="457"/>
      <c r="GM441" s="457"/>
      <c r="GN441" s="457"/>
      <c r="GO441" s="457"/>
      <c r="GP441" s="457"/>
      <c r="GQ441" s="457"/>
      <c r="GR441" s="457"/>
      <c r="GS441" s="457"/>
      <c r="GT441" s="457"/>
      <c r="GU441" s="457"/>
      <c r="GV441" s="457"/>
      <c r="GW441" s="457"/>
      <c r="GX441" s="457"/>
      <c r="GY441" s="457"/>
      <c r="GZ441" s="457"/>
      <c r="HA441" s="457"/>
      <c r="HB441" s="457"/>
      <c r="HC441" s="457"/>
      <c r="HD441" s="457"/>
      <c r="HE441" s="457"/>
      <c r="HF441" s="457"/>
      <c r="HG441" s="457"/>
      <c r="HH441" s="457"/>
      <c r="HI441" s="457"/>
      <c r="HJ441" s="457"/>
      <c r="HK441" s="457"/>
      <c r="HL441" s="457"/>
      <c r="HM441" s="457"/>
      <c r="HN441" s="457"/>
      <c r="HO441" s="457"/>
      <c r="HP441" s="457"/>
      <c r="HQ441" s="457"/>
      <c r="HR441" s="457"/>
      <c r="HS441" s="457"/>
      <c r="HT441" s="457"/>
      <c r="HU441" s="457"/>
      <c r="HV441" s="457"/>
      <c r="HW441" s="457"/>
      <c r="HX441" s="457"/>
      <c r="HY441" s="457"/>
      <c r="HZ441" s="457"/>
      <c r="IA441" s="457"/>
      <c r="IB441" s="457"/>
      <c r="IC441" s="457"/>
      <c r="ID441" s="457"/>
      <c r="IE441" s="457"/>
      <c r="IF441" s="457"/>
      <c r="IG441" s="457"/>
      <c r="IH441" s="457"/>
      <c r="II441" s="457"/>
      <c r="IJ441" s="457"/>
      <c r="IK441" s="457"/>
      <c r="IL441" s="457"/>
      <c r="IM441" s="457"/>
      <c r="IN441" s="457"/>
      <c r="IO441" s="457"/>
      <c r="IP441" s="457"/>
      <c r="IQ441" s="457"/>
      <c r="IR441" s="457"/>
      <c r="IS441" s="457"/>
      <c r="IT441" s="457"/>
      <c r="IU441" s="457"/>
    </row>
    <row r="442" spans="1:255" s="12" customFormat="1">
      <c r="A442" s="444"/>
      <c r="B442" s="458" t="s">
        <v>2856</v>
      </c>
      <c r="C442" s="453"/>
      <c r="D442" s="454"/>
      <c r="E442" s="455"/>
      <c r="F442" s="456"/>
      <c r="I442" s="457"/>
      <c r="J442" s="457"/>
      <c r="K442" s="457"/>
      <c r="L442" s="457"/>
      <c r="M442" s="457"/>
      <c r="N442" s="457"/>
      <c r="O442" s="457"/>
      <c r="P442" s="457"/>
      <c r="Q442" s="457"/>
      <c r="R442" s="457"/>
      <c r="S442" s="457"/>
      <c r="T442" s="457"/>
      <c r="U442" s="457"/>
      <c r="V442" s="457"/>
      <c r="W442" s="457"/>
      <c r="X442" s="457"/>
      <c r="Y442" s="457"/>
      <c r="Z442" s="457"/>
      <c r="AA442" s="457"/>
      <c r="AB442" s="457"/>
      <c r="AC442" s="457"/>
      <c r="AD442" s="457"/>
      <c r="AE442" s="457"/>
      <c r="AF442" s="457"/>
      <c r="AG442" s="457"/>
      <c r="AH442" s="457"/>
      <c r="AI442" s="457"/>
      <c r="AJ442" s="457"/>
      <c r="AK442" s="457"/>
      <c r="AL442" s="457"/>
      <c r="AM442" s="457"/>
      <c r="AN442" s="457"/>
      <c r="AO442" s="457"/>
      <c r="AP442" s="457"/>
      <c r="AQ442" s="457"/>
      <c r="AR442" s="457"/>
      <c r="AS442" s="457"/>
      <c r="AT442" s="457"/>
      <c r="AU442" s="457"/>
      <c r="AV442" s="457"/>
      <c r="AW442" s="457"/>
      <c r="AX442" s="457"/>
      <c r="AY442" s="457"/>
      <c r="AZ442" s="457"/>
      <c r="BA442" s="457"/>
      <c r="BB442" s="457"/>
      <c r="BC442" s="457"/>
      <c r="BD442" s="457"/>
      <c r="BE442" s="457"/>
      <c r="BF442" s="457"/>
      <c r="BG442" s="457"/>
      <c r="BH442" s="457"/>
      <c r="BI442" s="457"/>
      <c r="BJ442" s="457"/>
      <c r="BK442" s="457"/>
      <c r="BL442" s="457"/>
      <c r="BM442" s="457"/>
      <c r="BN442" s="457"/>
      <c r="BO442" s="457"/>
      <c r="BP442" s="457"/>
      <c r="BQ442" s="457"/>
      <c r="BR442" s="457"/>
      <c r="BS442" s="457"/>
      <c r="BT442" s="457"/>
      <c r="BU442" s="457"/>
      <c r="BV442" s="457"/>
      <c r="BW442" s="457"/>
      <c r="BX442" s="457"/>
      <c r="BY442" s="457"/>
      <c r="BZ442" s="457"/>
      <c r="CA442" s="457"/>
      <c r="CB442" s="457"/>
      <c r="CC442" s="457"/>
      <c r="CD442" s="457"/>
      <c r="CE442" s="457"/>
      <c r="CF442" s="457"/>
      <c r="CG442" s="457"/>
      <c r="CH442" s="457"/>
      <c r="CI442" s="457"/>
      <c r="CJ442" s="457"/>
      <c r="CK442" s="457"/>
      <c r="CL442" s="457"/>
      <c r="CM442" s="457"/>
      <c r="CN442" s="457"/>
      <c r="CO442" s="457"/>
      <c r="CP442" s="457"/>
      <c r="CQ442" s="457"/>
      <c r="CR442" s="457"/>
      <c r="CS442" s="457"/>
      <c r="CT442" s="457"/>
      <c r="CU442" s="457"/>
      <c r="CV442" s="457"/>
      <c r="CW442" s="457"/>
      <c r="CX442" s="457"/>
      <c r="CY442" s="457"/>
      <c r="CZ442" s="457"/>
      <c r="DA442" s="457"/>
      <c r="DB442" s="457"/>
      <c r="DC442" s="457"/>
      <c r="DD442" s="457"/>
      <c r="DE442" s="457"/>
      <c r="DF442" s="457"/>
      <c r="DG442" s="457"/>
      <c r="DH442" s="457"/>
      <c r="DI442" s="457"/>
      <c r="DJ442" s="457"/>
      <c r="DK442" s="457"/>
      <c r="DL442" s="457"/>
      <c r="DM442" s="457"/>
      <c r="DN442" s="457"/>
      <c r="DO442" s="457"/>
      <c r="DP442" s="457"/>
      <c r="DQ442" s="457"/>
      <c r="DR442" s="457"/>
      <c r="DS442" s="457"/>
      <c r="DT442" s="457"/>
      <c r="DU442" s="457"/>
      <c r="DV442" s="457"/>
      <c r="DW442" s="457"/>
      <c r="DX442" s="457"/>
      <c r="DY442" s="457"/>
      <c r="DZ442" s="457"/>
      <c r="EA442" s="457"/>
      <c r="EB442" s="457"/>
      <c r="EC442" s="457"/>
      <c r="ED442" s="457"/>
      <c r="EE442" s="457"/>
      <c r="EF442" s="457"/>
      <c r="EG442" s="457"/>
      <c r="EH442" s="457"/>
      <c r="EI442" s="457"/>
      <c r="EJ442" s="457"/>
      <c r="EK442" s="457"/>
      <c r="EL442" s="457"/>
      <c r="EM442" s="457"/>
      <c r="EN442" s="457"/>
      <c r="EO442" s="457"/>
      <c r="EP442" s="457"/>
      <c r="EQ442" s="457"/>
      <c r="ER442" s="457"/>
      <c r="ES442" s="457"/>
      <c r="ET442" s="457"/>
      <c r="EU442" s="457"/>
      <c r="EV442" s="457"/>
      <c r="EW442" s="457"/>
      <c r="EX442" s="457"/>
      <c r="EY442" s="457"/>
      <c r="EZ442" s="457"/>
      <c r="FA442" s="457"/>
      <c r="FB442" s="457"/>
      <c r="FC442" s="457"/>
      <c r="FD442" s="457"/>
      <c r="FE442" s="457"/>
      <c r="FF442" s="457"/>
      <c r="FG442" s="457"/>
      <c r="FH442" s="457"/>
      <c r="FI442" s="457"/>
      <c r="FJ442" s="457"/>
      <c r="FK442" s="457"/>
      <c r="FL442" s="457"/>
      <c r="FM442" s="457"/>
      <c r="FN442" s="457"/>
      <c r="FO442" s="457"/>
      <c r="FP442" s="457"/>
      <c r="FQ442" s="457"/>
      <c r="FR442" s="457"/>
      <c r="FS442" s="457"/>
      <c r="FT442" s="457"/>
      <c r="FU442" s="457"/>
      <c r="FV442" s="457"/>
      <c r="FW442" s="457"/>
      <c r="FX442" s="457"/>
      <c r="FY442" s="457"/>
      <c r="FZ442" s="457"/>
      <c r="GA442" s="457"/>
      <c r="GB442" s="457"/>
      <c r="GC442" s="457"/>
      <c r="GD442" s="457"/>
      <c r="GE442" s="457"/>
      <c r="GF442" s="457"/>
      <c r="GG442" s="457"/>
      <c r="GH442" s="457"/>
      <c r="GI442" s="457"/>
      <c r="GJ442" s="457"/>
      <c r="GK442" s="457"/>
      <c r="GL442" s="457"/>
      <c r="GM442" s="457"/>
      <c r="GN442" s="457"/>
      <c r="GO442" s="457"/>
      <c r="GP442" s="457"/>
      <c r="GQ442" s="457"/>
      <c r="GR442" s="457"/>
      <c r="GS442" s="457"/>
      <c r="GT442" s="457"/>
      <c r="GU442" s="457"/>
      <c r="GV442" s="457"/>
      <c r="GW442" s="457"/>
      <c r="GX442" s="457"/>
      <c r="GY442" s="457"/>
      <c r="GZ442" s="457"/>
      <c r="HA442" s="457"/>
      <c r="HB442" s="457"/>
      <c r="HC442" s="457"/>
      <c r="HD442" s="457"/>
      <c r="HE442" s="457"/>
      <c r="HF442" s="457"/>
      <c r="HG442" s="457"/>
      <c r="HH442" s="457"/>
      <c r="HI442" s="457"/>
      <c r="HJ442" s="457"/>
      <c r="HK442" s="457"/>
      <c r="HL442" s="457"/>
      <c r="HM442" s="457"/>
      <c r="HN442" s="457"/>
      <c r="HO442" s="457"/>
      <c r="HP442" s="457"/>
      <c r="HQ442" s="457"/>
      <c r="HR442" s="457"/>
      <c r="HS442" s="457"/>
      <c r="HT442" s="457"/>
      <c r="HU442" s="457"/>
      <c r="HV442" s="457"/>
      <c r="HW442" s="457"/>
      <c r="HX442" s="457"/>
      <c r="HY442" s="457"/>
      <c r="HZ442" s="457"/>
      <c r="IA442" s="457"/>
      <c r="IB442" s="457"/>
      <c r="IC442" s="457"/>
      <c r="ID442" s="457"/>
      <c r="IE442" s="457"/>
      <c r="IF442" s="457"/>
      <c r="IG442" s="457"/>
      <c r="IH442" s="457"/>
      <c r="II442" s="457"/>
      <c r="IJ442" s="457"/>
      <c r="IK442" s="457"/>
      <c r="IL442" s="457"/>
      <c r="IM442" s="457"/>
      <c r="IN442" s="457"/>
      <c r="IO442" s="457"/>
      <c r="IP442" s="457"/>
      <c r="IQ442" s="457"/>
      <c r="IR442" s="457"/>
      <c r="IS442" s="457"/>
      <c r="IT442" s="457"/>
      <c r="IU442" s="457"/>
    </row>
    <row r="443" spans="1:255" s="12" customFormat="1" ht="30">
      <c r="A443" s="444"/>
      <c r="B443" s="697" t="s">
        <v>2857</v>
      </c>
      <c r="C443" s="459" t="s">
        <v>76</v>
      </c>
      <c r="D443" s="296">
        <v>1</v>
      </c>
      <c r="E443" s="434"/>
      <c r="F443" s="434"/>
    </row>
    <row r="444" spans="1:255" s="12" customFormat="1">
      <c r="A444" s="444"/>
      <c r="B444" s="460"/>
      <c r="C444" s="459"/>
      <c r="D444" s="296"/>
      <c r="E444" s="434"/>
      <c r="F444" s="434"/>
    </row>
    <row r="445" spans="1:255" s="12" customFormat="1" ht="45">
      <c r="A445" s="444">
        <v>2</v>
      </c>
      <c r="B445" s="461" t="s">
        <v>3415</v>
      </c>
      <c r="C445" s="453"/>
      <c r="D445" s="454"/>
      <c r="E445" s="297"/>
      <c r="I445" s="457"/>
      <c r="J445" s="457"/>
      <c r="K445" s="457"/>
      <c r="L445" s="457"/>
      <c r="M445" s="457"/>
      <c r="N445" s="457"/>
      <c r="O445" s="457"/>
      <c r="P445" s="457"/>
      <c r="Q445" s="457"/>
      <c r="R445" s="457"/>
      <c r="S445" s="457"/>
      <c r="T445" s="457"/>
      <c r="U445" s="457"/>
      <c r="V445" s="457"/>
      <c r="W445" s="457"/>
      <c r="X445" s="457"/>
      <c r="Y445" s="457"/>
      <c r="Z445" s="457"/>
      <c r="AA445" s="457"/>
      <c r="AB445" s="457"/>
      <c r="AC445" s="457"/>
      <c r="AD445" s="457"/>
      <c r="AE445" s="457"/>
      <c r="AF445" s="457"/>
      <c r="AG445" s="457"/>
      <c r="AH445" s="457"/>
      <c r="AI445" s="457"/>
      <c r="AJ445" s="457"/>
      <c r="AK445" s="457"/>
      <c r="AL445" s="457"/>
      <c r="AM445" s="457"/>
      <c r="AN445" s="457"/>
      <c r="AO445" s="457"/>
      <c r="AP445" s="457"/>
      <c r="AQ445" s="457"/>
      <c r="AR445" s="457"/>
      <c r="AS445" s="457"/>
      <c r="AT445" s="457"/>
      <c r="AU445" s="457"/>
      <c r="AV445" s="457"/>
      <c r="AW445" s="457"/>
      <c r="AX445" s="457"/>
      <c r="AY445" s="457"/>
      <c r="AZ445" s="457"/>
      <c r="BA445" s="457"/>
      <c r="BB445" s="457"/>
      <c r="BC445" s="457"/>
      <c r="BD445" s="457"/>
      <c r="BE445" s="457"/>
      <c r="BF445" s="457"/>
      <c r="BG445" s="457"/>
      <c r="BH445" s="457"/>
      <c r="BI445" s="457"/>
      <c r="BJ445" s="457"/>
      <c r="BK445" s="457"/>
      <c r="BL445" s="457"/>
      <c r="BM445" s="457"/>
      <c r="BN445" s="457"/>
      <c r="BO445" s="457"/>
      <c r="BP445" s="457"/>
      <c r="BQ445" s="457"/>
      <c r="BR445" s="457"/>
      <c r="BS445" s="457"/>
      <c r="BT445" s="457"/>
      <c r="BU445" s="457"/>
      <c r="BV445" s="457"/>
      <c r="BW445" s="457"/>
      <c r="BX445" s="457"/>
      <c r="BY445" s="457"/>
      <c r="BZ445" s="457"/>
      <c r="CA445" s="457"/>
      <c r="CB445" s="457"/>
      <c r="CC445" s="457"/>
      <c r="CD445" s="457"/>
      <c r="CE445" s="457"/>
      <c r="CF445" s="457"/>
      <c r="CG445" s="457"/>
      <c r="CH445" s="457"/>
      <c r="CI445" s="457"/>
      <c r="CJ445" s="457"/>
      <c r="CK445" s="457"/>
      <c r="CL445" s="457"/>
      <c r="CM445" s="457"/>
      <c r="CN445" s="457"/>
      <c r="CO445" s="457"/>
      <c r="CP445" s="457"/>
      <c r="CQ445" s="457"/>
      <c r="CR445" s="457"/>
      <c r="CS445" s="457"/>
      <c r="CT445" s="457"/>
      <c r="CU445" s="457"/>
      <c r="CV445" s="457"/>
      <c r="CW445" s="457"/>
      <c r="CX445" s="457"/>
      <c r="CY445" s="457"/>
      <c r="CZ445" s="457"/>
      <c r="DA445" s="457"/>
      <c r="DB445" s="457"/>
      <c r="DC445" s="457"/>
      <c r="DD445" s="457"/>
      <c r="DE445" s="457"/>
      <c r="DF445" s="457"/>
      <c r="DG445" s="457"/>
      <c r="DH445" s="457"/>
      <c r="DI445" s="457"/>
      <c r="DJ445" s="457"/>
      <c r="DK445" s="457"/>
      <c r="DL445" s="457"/>
      <c r="DM445" s="457"/>
      <c r="DN445" s="457"/>
      <c r="DO445" s="457"/>
      <c r="DP445" s="457"/>
      <c r="DQ445" s="457"/>
      <c r="DR445" s="457"/>
      <c r="DS445" s="457"/>
      <c r="DT445" s="457"/>
      <c r="DU445" s="457"/>
      <c r="DV445" s="457"/>
      <c r="DW445" s="457"/>
      <c r="DX445" s="457"/>
      <c r="DY445" s="457"/>
      <c r="DZ445" s="457"/>
      <c r="EA445" s="457"/>
      <c r="EB445" s="457"/>
      <c r="EC445" s="457"/>
      <c r="ED445" s="457"/>
      <c r="EE445" s="457"/>
      <c r="EF445" s="457"/>
      <c r="EG445" s="457"/>
      <c r="EH445" s="457"/>
      <c r="EI445" s="457"/>
      <c r="EJ445" s="457"/>
      <c r="EK445" s="457"/>
      <c r="EL445" s="457"/>
      <c r="EM445" s="457"/>
      <c r="EN445" s="457"/>
      <c r="EO445" s="457"/>
      <c r="EP445" s="457"/>
      <c r="EQ445" s="457"/>
      <c r="ER445" s="457"/>
      <c r="ES445" s="457"/>
      <c r="ET445" s="457"/>
      <c r="EU445" s="457"/>
      <c r="EV445" s="457"/>
      <c r="EW445" s="457"/>
      <c r="EX445" s="457"/>
      <c r="EY445" s="457"/>
      <c r="EZ445" s="457"/>
      <c r="FA445" s="457"/>
      <c r="FB445" s="457"/>
      <c r="FC445" s="457"/>
      <c r="FD445" s="457"/>
      <c r="FE445" s="457"/>
      <c r="FF445" s="457"/>
      <c r="FG445" s="457"/>
      <c r="FH445" s="457"/>
      <c r="FI445" s="457"/>
      <c r="FJ445" s="457"/>
      <c r="FK445" s="457"/>
      <c r="FL445" s="457"/>
      <c r="FM445" s="457"/>
      <c r="FN445" s="457"/>
      <c r="FO445" s="457"/>
      <c r="FP445" s="457"/>
      <c r="FQ445" s="457"/>
      <c r="FR445" s="457"/>
      <c r="FS445" s="457"/>
      <c r="FT445" s="457"/>
      <c r="FU445" s="457"/>
      <c r="FV445" s="457"/>
      <c r="FW445" s="457"/>
      <c r="FX445" s="457"/>
      <c r="FY445" s="457"/>
      <c r="FZ445" s="457"/>
      <c r="GA445" s="457"/>
      <c r="GB445" s="457"/>
      <c r="GC445" s="457"/>
      <c r="GD445" s="457"/>
      <c r="GE445" s="457"/>
      <c r="GF445" s="457"/>
      <c r="GG445" s="457"/>
      <c r="GH445" s="457"/>
      <c r="GI445" s="457"/>
      <c r="GJ445" s="457"/>
      <c r="GK445" s="457"/>
      <c r="GL445" s="457"/>
      <c r="GM445" s="457"/>
      <c r="GN445" s="457"/>
      <c r="GO445" s="457"/>
      <c r="GP445" s="457"/>
      <c r="GQ445" s="457"/>
      <c r="GR445" s="457"/>
      <c r="GS445" s="457"/>
      <c r="GT445" s="457"/>
      <c r="GU445" s="457"/>
      <c r="GV445" s="457"/>
      <c r="GW445" s="457"/>
      <c r="GX445" s="457"/>
      <c r="GY445" s="457"/>
      <c r="GZ445" s="457"/>
      <c r="HA445" s="457"/>
      <c r="HB445" s="457"/>
      <c r="HC445" s="457"/>
      <c r="HD445" s="457"/>
      <c r="HE445" s="457"/>
      <c r="HF445" s="457"/>
      <c r="HG445" s="457"/>
      <c r="HH445" s="457"/>
      <c r="HI445" s="457"/>
      <c r="HJ445" s="457"/>
      <c r="HK445" s="457"/>
      <c r="HL445" s="457"/>
      <c r="HM445" s="457"/>
      <c r="HN445" s="457"/>
      <c r="HO445" s="457"/>
      <c r="HP445" s="457"/>
      <c r="HQ445" s="457"/>
      <c r="HR445" s="457"/>
      <c r="HS445" s="457"/>
      <c r="HT445" s="457"/>
      <c r="HU445" s="457"/>
      <c r="HV445" s="457"/>
      <c r="HW445" s="457"/>
      <c r="HX445" s="457"/>
      <c r="HY445" s="457"/>
      <c r="HZ445" s="457"/>
      <c r="IA445" s="457"/>
      <c r="IB445" s="457"/>
      <c r="IC445" s="457"/>
      <c r="ID445" s="457"/>
      <c r="IE445" s="457"/>
      <c r="IF445" s="457"/>
      <c r="IG445" s="457"/>
      <c r="IH445" s="457"/>
      <c r="II445" s="457"/>
      <c r="IJ445" s="457"/>
      <c r="IK445" s="457"/>
      <c r="IL445" s="457"/>
      <c r="IM445" s="457"/>
      <c r="IN445" s="457"/>
      <c r="IO445" s="457"/>
      <c r="IP445" s="457"/>
      <c r="IQ445" s="457"/>
      <c r="IR445" s="457"/>
      <c r="IS445" s="457"/>
      <c r="IT445" s="457"/>
      <c r="IU445" s="457"/>
    </row>
    <row r="446" spans="1:255" s="12" customFormat="1" ht="45">
      <c r="A446" s="444"/>
      <c r="B446" s="461" t="s">
        <v>2858</v>
      </c>
      <c r="C446" s="453"/>
      <c r="D446" s="454"/>
      <c r="E446" s="297"/>
      <c r="F446" s="456"/>
      <c r="I446" s="457"/>
      <c r="J446" s="457"/>
      <c r="K446" s="457"/>
      <c r="L446" s="457"/>
      <c r="M446" s="457"/>
      <c r="N446" s="457"/>
      <c r="O446" s="457"/>
      <c r="P446" s="457"/>
      <c r="Q446" s="457"/>
      <c r="R446" s="457"/>
      <c r="S446" s="457"/>
      <c r="T446" s="457"/>
      <c r="U446" s="457"/>
      <c r="V446" s="457"/>
      <c r="W446" s="457"/>
      <c r="X446" s="457"/>
      <c r="Y446" s="457"/>
      <c r="Z446" s="457"/>
      <c r="AA446" s="457"/>
      <c r="AB446" s="457"/>
      <c r="AC446" s="457"/>
      <c r="AD446" s="457"/>
      <c r="AE446" s="457"/>
      <c r="AF446" s="457"/>
      <c r="AG446" s="457"/>
      <c r="AH446" s="457"/>
      <c r="AI446" s="457"/>
      <c r="AJ446" s="457"/>
      <c r="AK446" s="457"/>
      <c r="AL446" s="457"/>
      <c r="AM446" s="457"/>
      <c r="AN446" s="457"/>
      <c r="AO446" s="457"/>
      <c r="AP446" s="457"/>
      <c r="AQ446" s="457"/>
      <c r="AR446" s="457"/>
      <c r="AS446" s="457"/>
      <c r="AT446" s="457"/>
      <c r="AU446" s="457"/>
      <c r="AV446" s="457"/>
      <c r="AW446" s="457"/>
      <c r="AX446" s="457"/>
      <c r="AY446" s="457"/>
      <c r="AZ446" s="457"/>
      <c r="BA446" s="457"/>
      <c r="BB446" s="457"/>
      <c r="BC446" s="457"/>
      <c r="BD446" s="457"/>
      <c r="BE446" s="457"/>
      <c r="BF446" s="457"/>
      <c r="BG446" s="457"/>
      <c r="BH446" s="457"/>
      <c r="BI446" s="457"/>
      <c r="BJ446" s="457"/>
      <c r="BK446" s="457"/>
      <c r="BL446" s="457"/>
      <c r="BM446" s="457"/>
      <c r="BN446" s="457"/>
      <c r="BO446" s="457"/>
      <c r="BP446" s="457"/>
      <c r="BQ446" s="457"/>
      <c r="BR446" s="457"/>
      <c r="BS446" s="457"/>
      <c r="BT446" s="457"/>
      <c r="BU446" s="457"/>
      <c r="BV446" s="457"/>
      <c r="BW446" s="457"/>
      <c r="BX446" s="457"/>
      <c r="BY446" s="457"/>
      <c r="BZ446" s="457"/>
      <c r="CA446" s="457"/>
      <c r="CB446" s="457"/>
      <c r="CC446" s="457"/>
      <c r="CD446" s="457"/>
      <c r="CE446" s="457"/>
      <c r="CF446" s="457"/>
      <c r="CG446" s="457"/>
      <c r="CH446" s="457"/>
      <c r="CI446" s="457"/>
      <c r="CJ446" s="457"/>
      <c r="CK446" s="457"/>
      <c r="CL446" s="457"/>
      <c r="CM446" s="457"/>
      <c r="CN446" s="457"/>
      <c r="CO446" s="457"/>
      <c r="CP446" s="457"/>
      <c r="CQ446" s="457"/>
      <c r="CR446" s="457"/>
      <c r="CS446" s="457"/>
      <c r="CT446" s="457"/>
      <c r="CU446" s="457"/>
      <c r="CV446" s="457"/>
      <c r="CW446" s="457"/>
      <c r="CX446" s="457"/>
      <c r="CY446" s="457"/>
      <c r="CZ446" s="457"/>
      <c r="DA446" s="457"/>
      <c r="DB446" s="457"/>
      <c r="DC446" s="457"/>
      <c r="DD446" s="457"/>
      <c r="DE446" s="457"/>
      <c r="DF446" s="457"/>
      <c r="DG446" s="457"/>
      <c r="DH446" s="457"/>
      <c r="DI446" s="457"/>
      <c r="DJ446" s="457"/>
      <c r="DK446" s="457"/>
      <c r="DL446" s="457"/>
      <c r="DM446" s="457"/>
      <c r="DN446" s="457"/>
      <c r="DO446" s="457"/>
      <c r="DP446" s="457"/>
      <c r="DQ446" s="457"/>
      <c r="DR446" s="457"/>
      <c r="DS446" s="457"/>
      <c r="DT446" s="457"/>
      <c r="DU446" s="457"/>
      <c r="DV446" s="457"/>
      <c r="DW446" s="457"/>
      <c r="DX446" s="457"/>
      <c r="DY446" s="457"/>
      <c r="DZ446" s="457"/>
      <c r="EA446" s="457"/>
      <c r="EB446" s="457"/>
      <c r="EC446" s="457"/>
      <c r="ED446" s="457"/>
      <c r="EE446" s="457"/>
      <c r="EF446" s="457"/>
      <c r="EG446" s="457"/>
      <c r="EH446" s="457"/>
      <c r="EI446" s="457"/>
      <c r="EJ446" s="457"/>
      <c r="EK446" s="457"/>
      <c r="EL446" s="457"/>
      <c r="EM446" s="457"/>
      <c r="EN446" s="457"/>
      <c r="EO446" s="457"/>
      <c r="EP446" s="457"/>
      <c r="EQ446" s="457"/>
      <c r="ER446" s="457"/>
      <c r="ES446" s="457"/>
      <c r="ET446" s="457"/>
      <c r="EU446" s="457"/>
      <c r="EV446" s="457"/>
      <c r="EW446" s="457"/>
      <c r="EX446" s="457"/>
      <c r="EY446" s="457"/>
      <c r="EZ446" s="457"/>
      <c r="FA446" s="457"/>
      <c r="FB446" s="457"/>
      <c r="FC446" s="457"/>
      <c r="FD446" s="457"/>
      <c r="FE446" s="457"/>
      <c r="FF446" s="457"/>
      <c r="FG446" s="457"/>
      <c r="FH446" s="457"/>
      <c r="FI446" s="457"/>
      <c r="FJ446" s="457"/>
      <c r="FK446" s="457"/>
      <c r="FL446" s="457"/>
      <c r="FM446" s="457"/>
      <c r="FN446" s="457"/>
      <c r="FO446" s="457"/>
      <c r="FP446" s="457"/>
      <c r="FQ446" s="457"/>
      <c r="FR446" s="457"/>
      <c r="FS446" s="457"/>
      <c r="FT446" s="457"/>
      <c r="FU446" s="457"/>
      <c r="FV446" s="457"/>
      <c r="FW446" s="457"/>
      <c r="FX446" s="457"/>
      <c r="FY446" s="457"/>
      <c r="FZ446" s="457"/>
      <c r="GA446" s="457"/>
      <c r="GB446" s="457"/>
      <c r="GC446" s="457"/>
      <c r="GD446" s="457"/>
      <c r="GE446" s="457"/>
      <c r="GF446" s="457"/>
      <c r="GG446" s="457"/>
      <c r="GH446" s="457"/>
      <c r="GI446" s="457"/>
      <c r="GJ446" s="457"/>
      <c r="GK446" s="457"/>
      <c r="GL446" s="457"/>
      <c r="GM446" s="457"/>
      <c r="GN446" s="457"/>
      <c r="GO446" s="457"/>
      <c r="GP446" s="457"/>
      <c r="GQ446" s="457"/>
      <c r="GR446" s="457"/>
      <c r="GS446" s="457"/>
      <c r="GT446" s="457"/>
      <c r="GU446" s="457"/>
      <c r="GV446" s="457"/>
      <c r="GW446" s="457"/>
      <c r="GX446" s="457"/>
      <c r="GY446" s="457"/>
      <c r="GZ446" s="457"/>
      <c r="HA446" s="457"/>
      <c r="HB446" s="457"/>
      <c r="HC446" s="457"/>
      <c r="HD446" s="457"/>
      <c r="HE446" s="457"/>
      <c r="HF446" s="457"/>
      <c r="HG446" s="457"/>
      <c r="HH446" s="457"/>
      <c r="HI446" s="457"/>
      <c r="HJ446" s="457"/>
      <c r="HK446" s="457"/>
      <c r="HL446" s="457"/>
      <c r="HM446" s="457"/>
      <c r="HN446" s="457"/>
      <c r="HO446" s="457"/>
      <c r="HP446" s="457"/>
      <c r="HQ446" s="457"/>
      <c r="HR446" s="457"/>
      <c r="HS446" s="457"/>
      <c r="HT446" s="457"/>
      <c r="HU446" s="457"/>
      <c r="HV446" s="457"/>
      <c r="HW446" s="457"/>
      <c r="HX446" s="457"/>
      <c r="HY446" s="457"/>
      <c r="HZ446" s="457"/>
      <c r="IA446" s="457"/>
      <c r="IB446" s="457"/>
      <c r="IC446" s="457"/>
      <c r="ID446" s="457"/>
      <c r="IE446" s="457"/>
      <c r="IF446" s="457"/>
      <c r="IG446" s="457"/>
      <c r="IH446" s="457"/>
      <c r="II446" s="457"/>
      <c r="IJ446" s="457"/>
      <c r="IK446" s="457"/>
      <c r="IL446" s="457"/>
      <c r="IM446" s="457"/>
      <c r="IN446" s="457"/>
      <c r="IO446" s="457"/>
      <c r="IP446" s="457"/>
      <c r="IQ446" s="457"/>
      <c r="IR446" s="457"/>
      <c r="IS446" s="457"/>
      <c r="IT446" s="457"/>
      <c r="IU446" s="457"/>
    </row>
    <row r="447" spans="1:255" s="12" customFormat="1" ht="150">
      <c r="A447" s="444"/>
      <c r="B447" s="462" t="s">
        <v>2859</v>
      </c>
      <c r="C447" s="453"/>
      <c r="D447" s="454"/>
      <c r="E447" s="297"/>
      <c r="F447" s="456"/>
      <c r="I447" s="457"/>
      <c r="J447" s="457"/>
      <c r="K447" s="457"/>
      <c r="L447" s="457"/>
      <c r="M447" s="457"/>
      <c r="N447" s="457"/>
      <c r="O447" s="457"/>
      <c r="P447" s="457"/>
      <c r="Q447" s="457"/>
      <c r="R447" s="457"/>
      <c r="S447" s="457"/>
      <c r="T447" s="457"/>
      <c r="U447" s="457"/>
      <c r="V447" s="457"/>
      <c r="W447" s="457"/>
      <c r="X447" s="457"/>
      <c r="Y447" s="457"/>
      <c r="Z447" s="457"/>
      <c r="AA447" s="457"/>
      <c r="AB447" s="457"/>
      <c r="AC447" s="457"/>
      <c r="AD447" s="457"/>
      <c r="AE447" s="457"/>
      <c r="AF447" s="457"/>
      <c r="AG447" s="457"/>
      <c r="AH447" s="457"/>
      <c r="AI447" s="457"/>
      <c r="AJ447" s="457"/>
      <c r="AK447" s="457"/>
      <c r="AL447" s="457"/>
      <c r="AM447" s="457"/>
      <c r="AN447" s="457"/>
      <c r="AO447" s="457"/>
      <c r="AP447" s="457"/>
      <c r="AQ447" s="457"/>
      <c r="AR447" s="457"/>
      <c r="AS447" s="457"/>
      <c r="AT447" s="457"/>
      <c r="AU447" s="457"/>
      <c r="AV447" s="457"/>
      <c r="AW447" s="457"/>
      <c r="AX447" s="457"/>
      <c r="AY447" s="457"/>
      <c r="AZ447" s="457"/>
      <c r="BA447" s="457"/>
      <c r="BB447" s="457"/>
      <c r="BC447" s="457"/>
      <c r="BD447" s="457"/>
      <c r="BE447" s="457"/>
      <c r="BF447" s="457"/>
      <c r="BG447" s="457"/>
      <c r="BH447" s="457"/>
      <c r="BI447" s="457"/>
      <c r="BJ447" s="457"/>
      <c r="BK447" s="457"/>
      <c r="BL447" s="457"/>
      <c r="BM447" s="457"/>
      <c r="BN447" s="457"/>
      <c r="BO447" s="457"/>
      <c r="BP447" s="457"/>
      <c r="BQ447" s="457"/>
      <c r="BR447" s="457"/>
      <c r="BS447" s="457"/>
      <c r="BT447" s="457"/>
      <c r="BU447" s="457"/>
      <c r="BV447" s="457"/>
      <c r="BW447" s="457"/>
      <c r="BX447" s="457"/>
      <c r="BY447" s="457"/>
      <c r="BZ447" s="457"/>
      <c r="CA447" s="457"/>
      <c r="CB447" s="457"/>
      <c r="CC447" s="457"/>
      <c r="CD447" s="457"/>
      <c r="CE447" s="457"/>
      <c r="CF447" s="457"/>
      <c r="CG447" s="457"/>
      <c r="CH447" s="457"/>
      <c r="CI447" s="457"/>
      <c r="CJ447" s="457"/>
      <c r="CK447" s="457"/>
      <c r="CL447" s="457"/>
      <c r="CM447" s="457"/>
      <c r="CN447" s="457"/>
      <c r="CO447" s="457"/>
      <c r="CP447" s="457"/>
      <c r="CQ447" s="457"/>
      <c r="CR447" s="457"/>
      <c r="CS447" s="457"/>
      <c r="CT447" s="457"/>
      <c r="CU447" s="457"/>
      <c r="CV447" s="457"/>
      <c r="CW447" s="457"/>
      <c r="CX447" s="457"/>
      <c r="CY447" s="457"/>
      <c r="CZ447" s="457"/>
      <c r="DA447" s="457"/>
      <c r="DB447" s="457"/>
      <c r="DC447" s="457"/>
      <c r="DD447" s="457"/>
      <c r="DE447" s="457"/>
      <c r="DF447" s="457"/>
      <c r="DG447" s="457"/>
      <c r="DH447" s="457"/>
      <c r="DI447" s="457"/>
      <c r="DJ447" s="457"/>
      <c r="DK447" s="457"/>
      <c r="DL447" s="457"/>
      <c r="DM447" s="457"/>
      <c r="DN447" s="457"/>
      <c r="DO447" s="457"/>
      <c r="DP447" s="457"/>
      <c r="DQ447" s="457"/>
      <c r="DR447" s="457"/>
      <c r="DS447" s="457"/>
      <c r="DT447" s="457"/>
      <c r="DU447" s="457"/>
      <c r="DV447" s="457"/>
      <c r="DW447" s="457"/>
      <c r="DX447" s="457"/>
      <c r="DY447" s="457"/>
      <c r="DZ447" s="457"/>
      <c r="EA447" s="457"/>
      <c r="EB447" s="457"/>
      <c r="EC447" s="457"/>
      <c r="ED447" s="457"/>
      <c r="EE447" s="457"/>
      <c r="EF447" s="457"/>
      <c r="EG447" s="457"/>
      <c r="EH447" s="457"/>
      <c r="EI447" s="457"/>
      <c r="EJ447" s="457"/>
      <c r="EK447" s="457"/>
      <c r="EL447" s="457"/>
      <c r="EM447" s="457"/>
      <c r="EN447" s="457"/>
      <c r="EO447" s="457"/>
      <c r="EP447" s="457"/>
      <c r="EQ447" s="457"/>
      <c r="ER447" s="457"/>
      <c r="ES447" s="457"/>
      <c r="ET447" s="457"/>
      <c r="EU447" s="457"/>
      <c r="EV447" s="457"/>
      <c r="EW447" s="457"/>
      <c r="EX447" s="457"/>
      <c r="EY447" s="457"/>
      <c r="EZ447" s="457"/>
      <c r="FA447" s="457"/>
      <c r="FB447" s="457"/>
      <c r="FC447" s="457"/>
      <c r="FD447" s="457"/>
      <c r="FE447" s="457"/>
      <c r="FF447" s="457"/>
      <c r="FG447" s="457"/>
      <c r="FH447" s="457"/>
      <c r="FI447" s="457"/>
      <c r="FJ447" s="457"/>
      <c r="FK447" s="457"/>
      <c r="FL447" s="457"/>
      <c r="FM447" s="457"/>
      <c r="FN447" s="457"/>
      <c r="FO447" s="457"/>
      <c r="FP447" s="457"/>
      <c r="FQ447" s="457"/>
      <c r="FR447" s="457"/>
      <c r="FS447" s="457"/>
      <c r="FT447" s="457"/>
      <c r="FU447" s="457"/>
      <c r="FV447" s="457"/>
      <c r="FW447" s="457"/>
      <c r="FX447" s="457"/>
      <c r="FY447" s="457"/>
      <c r="FZ447" s="457"/>
      <c r="GA447" s="457"/>
      <c r="GB447" s="457"/>
      <c r="GC447" s="457"/>
      <c r="GD447" s="457"/>
      <c r="GE447" s="457"/>
      <c r="GF447" s="457"/>
      <c r="GG447" s="457"/>
      <c r="GH447" s="457"/>
      <c r="GI447" s="457"/>
      <c r="GJ447" s="457"/>
      <c r="GK447" s="457"/>
      <c r="GL447" s="457"/>
      <c r="GM447" s="457"/>
      <c r="GN447" s="457"/>
      <c r="GO447" s="457"/>
      <c r="GP447" s="457"/>
      <c r="GQ447" s="457"/>
      <c r="GR447" s="457"/>
      <c r="GS447" s="457"/>
      <c r="GT447" s="457"/>
      <c r="GU447" s="457"/>
      <c r="GV447" s="457"/>
      <c r="GW447" s="457"/>
      <c r="GX447" s="457"/>
      <c r="GY447" s="457"/>
      <c r="GZ447" s="457"/>
      <c r="HA447" s="457"/>
      <c r="HB447" s="457"/>
      <c r="HC447" s="457"/>
      <c r="HD447" s="457"/>
      <c r="HE447" s="457"/>
      <c r="HF447" s="457"/>
      <c r="HG447" s="457"/>
      <c r="HH447" s="457"/>
      <c r="HI447" s="457"/>
      <c r="HJ447" s="457"/>
      <c r="HK447" s="457"/>
      <c r="HL447" s="457"/>
      <c r="HM447" s="457"/>
      <c r="HN447" s="457"/>
      <c r="HO447" s="457"/>
      <c r="HP447" s="457"/>
      <c r="HQ447" s="457"/>
      <c r="HR447" s="457"/>
      <c r="HS447" s="457"/>
      <c r="HT447" s="457"/>
      <c r="HU447" s="457"/>
      <c r="HV447" s="457"/>
      <c r="HW447" s="457"/>
      <c r="HX447" s="457"/>
      <c r="HY447" s="457"/>
      <c r="HZ447" s="457"/>
      <c r="IA447" s="457"/>
      <c r="IB447" s="457"/>
      <c r="IC447" s="457"/>
      <c r="ID447" s="457"/>
      <c r="IE447" s="457"/>
      <c r="IF447" s="457"/>
      <c r="IG447" s="457"/>
      <c r="IH447" s="457"/>
      <c r="II447" s="457"/>
      <c r="IJ447" s="457"/>
      <c r="IK447" s="457"/>
      <c r="IL447" s="457"/>
      <c r="IM447" s="457"/>
      <c r="IN447" s="457"/>
      <c r="IO447" s="457"/>
      <c r="IP447" s="457"/>
      <c r="IQ447" s="457"/>
      <c r="IR447" s="457"/>
      <c r="IS447" s="457"/>
      <c r="IT447" s="457"/>
      <c r="IU447" s="457"/>
    </row>
    <row r="448" spans="1:255" s="12" customFormat="1" ht="90">
      <c r="A448" s="444"/>
      <c r="B448" s="462" t="s">
        <v>3416</v>
      </c>
      <c r="C448" s="453"/>
      <c r="D448" s="454"/>
      <c r="E448" s="297"/>
      <c r="F448" s="456"/>
      <c r="I448" s="457"/>
      <c r="J448" s="457"/>
      <c r="K448" s="457"/>
      <c r="L448" s="457"/>
      <c r="M448" s="457"/>
      <c r="N448" s="457"/>
      <c r="O448" s="457"/>
      <c r="P448" s="457"/>
      <c r="Q448" s="457"/>
      <c r="R448" s="457"/>
      <c r="S448" s="457"/>
      <c r="T448" s="457"/>
      <c r="U448" s="457"/>
      <c r="V448" s="457"/>
      <c r="W448" s="457"/>
      <c r="X448" s="457"/>
      <c r="Y448" s="457"/>
      <c r="Z448" s="457"/>
      <c r="AA448" s="457"/>
      <c r="AB448" s="457"/>
      <c r="AC448" s="457"/>
      <c r="AD448" s="457"/>
      <c r="AE448" s="457"/>
      <c r="AF448" s="457"/>
      <c r="AG448" s="457"/>
      <c r="AH448" s="457"/>
      <c r="AI448" s="457"/>
      <c r="AJ448" s="457"/>
      <c r="AK448" s="457"/>
      <c r="AL448" s="457"/>
      <c r="AM448" s="457"/>
      <c r="AN448" s="457"/>
      <c r="AO448" s="457"/>
      <c r="AP448" s="457"/>
      <c r="AQ448" s="457"/>
      <c r="AR448" s="457"/>
      <c r="AS448" s="457"/>
      <c r="AT448" s="457"/>
      <c r="AU448" s="457"/>
      <c r="AV448" s="457"/>
      <c r="AW448" s="457"/>
      <c r="AX448" s="457"/>
      <c r="AY448" s="457"/>
      <c r="AZ448" s="457"/>
      <c r="BA448" s="457"/>
      <c r="BB448" s="457"/>
      <c r="BC448" s="457"/>
      <c r="BD448" s="457"/>
      <c r="BE448" s="457"/>
      <c r="BF448" s="457"/>
      <c r="BG448" s="457"/>
      <c r="BH448" s="457"/>
      <c r="BI448" s="457"/>
      <c r="BJ448" s="457"/>
      <c r="BK448" s="457"/>
      <c r="BL448" s="457"/>
      <c r="BM448" s="457"/>
      <c r="BN448" s="457"/>
      <c r="BO448" s="457"/>
      <c r="BP448" s="457"/>
      <c r="BQ448" s="457"/>
      <c r="BR448" s="457"/>
      <c r="BS448" s="457"/>
      <c r="BT448" s="457"/>
      <c r="BU448" s="457"/>
      <c r="BV448" s="457"/>
      <c r="BW448" s="457"/>
      <c r="BX448" s="457"/>
      <c r="BY448" s="457"/>
      <c r="BZ448" s="457"/>
      <c r="CA448" s="457"/>
      <c r="CB448" s="457"/>
      <c r="CC448" s="457"/>
      <c r="CD448" s="457"/>
      <c r="CE448" s="457"/>
      <c r="CF448" s="457"/>
      <c r="CG448" s="457"/>
      <c r="CH448" s="457"/>
      <c r="CI448" s="457"/>
      <c r="CJ448" s="457"/>
      <c r="CK448" s="457"/>
      <c r="CL448" s="457"/>
      <c r="CM448" s="457"/>
      <c r="CN448" s="457"/>
      <c r="CO448" s="457"/>
      <c r="CP448" s="457"/>
      <c r="CQ448" s="457"/>
      <c r="CR448" s="457"/>
      <c r="CS448" s="457"/>
      <c r="CT448" s="457"/>
      <c r="CU448" s="457"/>
      <c r="CV448" s="457"/>
      <c r="CW448" s="457"/>
      <c r="CX448" s="457"/>
      <c r="CY448" s="457"/>
      <c r="CZ448" s="457"/>
      <c r="DA448" s="457"/>
      <c r="DB448" s="457"/>
      <c r="DC448" s="457"/>
      <c r="DD448" s="457"/>
      <c r="DE448" s="457"/>
      <c r="DF448" s="457"/>
      <c r="DG448" s="457"/>
      <c r="DH448" s="457"/>
      <c r="DI448" s="457"/>
      <c r="DJ448" s="457"/>
      <c r="DK448" s="457"/>
      <c r="DL448" s="457"/>
      <c r="DM448" s="457"/>
      <c r="DN448" s="457"/>
      <c r="DO448" s="457"/>
      <c r="DP448" s="457"/>
      <c r="DQ448" s="457"/>
      <c r="DR448" s="457"/>
      <c r="DS448" s="457"/>
      <c r="DT448" s="457"/>
      <c r="DU448" s="457"/>
      <c r="DV448" s="457"/>
      <c r="DW448" s="457"/>
      <c r="DX448" s="457"/>
      <c r="DY448" s="457"/>
      <c r="DZ448" s="457"/>
      <c r="EA448" s="457"/>
      <c r="EB448" s="457"/>
      <c r="EC448" s="457"/>
      <c r="ED448" s="457"/>
      <c r="EE448" s="457"/>
      <c r="EF448" s="457"/>
      <c r="EG448" s="457"/>
      <c r="EH448" s="457"/>
      <c r="EI448" s="457"/>
      <c r="EJ448" s="457"/>
      <c r="EK448" s="457"/>
      <c r="EL448" s="457"/>
      <c r="EM448" s="457"/>
      <c r="EN448" s="457"/>
      <c r="EO448" s="457"/>
      <c r="EP448" s="457"/>
      <c r="EQ448" s="457"/>
      <c r="ER448" s="457"/>
      <c r="ES448" s="457"/>
      <c r="ET448" s="457"/>
      <c r="EU448" s="457"/>
      <c r="EV448" s="457"/>
      <c r="EW448" s="457"/>
      <c r="EX448" s="457"/>
      <c r="EY448" s="457"/>
      <c r="EZ448" s="457"/>
      <c r="FA448" s="457"/>
      <c r="FB448" s="457"/>
      <c r="FC448" s="457"/>
      <c r="FD448" s="457"/>
      <c r="FE448" s="457"/>
      <c r="FF448" s="457"/>
      <c r="FG448" s="457"/>
      <c r="FH448" s="457"/>
      <c r="FI448" s="457"/>
      <c r="FJ448" s="457"/>
      <c r="FK448" s="457"/>
      <c r="FL448" s="457"/>
      <c r="FM448" s="457"/>
      <c r="FN448" s="457"/>
      <c r="FO448" s="457"/>
      <c r="FP448" s="457"/>
      <c r="FQ448" s="457"/>
      <c r="FR448" s="457"/>
      <c r="FS448" s="457"/>
      <c r="FT448" s="457"/>
      <c r="FU448" s="457"/>
      <c r="FV448" s="457"/>
      <c r="FW448" s="457"/>
      <c r="FX448" s="457"/>
      <c r="FY448" s="457"/>
      <c r="FZ448" s="457"/>
      <c r="GA448" s="457"/>
      <c r="GB448" s="457"/>
      <c r="GC448" s="457"/>
      <c r="GD448" s="457"/>
      <c r="GE448" s="457"/>
      <c r="GF448" s="457"/>
      <c r="GG448" s="457"/>
      <c r="GH448" s="457"/>
      <c r="GI448" s="457"/>
      <c r="GJ448" s="457"/>
      <c r="GK448" s="457"/>
      <c r="GL448" s="457"/>
      <c r="GM448" s="457"/>
      <c r="GN448" s="457"/>
      <c r="GO448" s="457"/>
      <c r="GP448" s="457"/>
      <c r="GQ448" s="457"/>
      <c r="GR448" s="457"/>
      <c r="GS448" s="457"/>
      <c r="GT448" s="457"/>
      <c r="GU448" s="457"/>
      <c r="GV448" s="457"/>
      <c r="GW448" s="457"/>
      <c r="GX448" s="457"/>
      <c r="GY448" s="457"/>
      <c r="GZ448" s="457"/>
      <c r="HA448" s="457"/>
      <c r="HB448" s="457"/>
      <c r="HC448" s="457"/>
      <c r="HD448" s="457"/>
      <c r="HE448" s="457"/>
      <c r="HF448" s="457"/>
      <c r="HG448" s="457"/>
      <c r="HH448" s="457"/>
      <c r="HI448" s="457"/>
      <c r="HJ448" s="457"/>
      <c r="HK448" s="457"/>
      <c r="HL448" s="457"/>
      <c r="HM448" s="457"/>
      <c r="HN448" s="457"/>
      <c r="HO448" s="457"/>
      <c r="HP448" s="457"/>
      <c r="HQ448" s="457"/>
      <c r="HR448" s="457"/>
      <c r="HS448" s="457"/>
      <c r="HT448" s="457"/>
      <c r="HU448" s="457"/>
      <c r="HV448" s="457"/>
      <c r="HW448" s="457"/>
      <c r="HX448" s="457"/>
      <c r="HY448" s="457"/>
      <c r="HZ448" s="457"/>
      <c r="IA448" s="457"/>
      <c r="IB448" s="457"/>
      <c r="IC448" s="457"/>
      <c r="ID448" s="457"/>
      <c r="IE448" s="457"/>
      <c r="IF448" s="457"/>
      <c r="IG448" s="457"/>
      <c r="IH448" s="457"/>
      <c r="II448" s="457"/>
      <c r="IJ448" s="457"/>
      <c r="IK448" s="457"/>
      <c r="IL448" s="457"/>
      <c r="IM448" s="457"/>
      <c r="IN448" s="457"/>
      <c r="IO448" s="457"/>
      <c r="IP448" s="457"/>
      <c r="IQ448" s="457"/>
      <c r="IR448" s="457"/>
      <c r="IS448" s="457"/>
      <c r="IT448" s="457"/>
      <c r="IU448" s="457"/>
    </row>
    <row r="449" spans="1:255" s="12" customFormat="1">
      <c r="A449" s="444"/>
      <c r="B449" s="461" t="s">
        <v>2860</v>
      </c>
      <c r="C449" s="453"/>
      <c r="D449" s="454"/>
      <c r="E449" s="297"/>
      <c r="F449" s="456"/>
      <c r="I449" s="457"/>
      <c r="J449" s="457"/>
      <c r="K449" s="457"/>
      <c r="L449" s="457"/>
      <c r="M449" s="457"/>
      <c r="N449" s="457"/>
      <c r="O449" s="457"/>
      <c r="P449" s="457"/>
      <c r="Q449" s="457"/>
      <c r="R449" s="457"/>
      <c r="S449" s="457"/>
      <c r="T449" s="457"/>
      <c r="U449" s="457"/>
      <c r="V449" s="457"/>
      <c r="W449" s="457"/>
      <c r="X449" s="457"/>
      <c r="Y449" s="457"/>
      <c r="Z449" s="457"/>
      <c r="AA449" s="457"/>
      <c r="AB449" s="457"/>
      <c r="AC449" s="457"/>
      <c r="AD449" s="457"/>
      <c r="AE449" s="457"/>
      <c r="AF449" s="457"/>
      <c r="AG449" s="457"/>
      <c r="AH449" s="457"/>
      <c r="AI449" s="457"/>
      <c r="AJ449" s="457"/>
      <c r="AK449" s="457"/>
      <c r="AL449" s="457"/>
      <c r="AM449" s="457"/>
      <c r="AN449" s="457"/>
      <c r="AO449" s="457"/>
      <c r="AP449" s="457"/>
      <c r="AQ449" s="457"/>
      <c r="AR449" s="457"/>
      <c r="AS449" s="457"/>
      <c r="AT449" s="457"/>
      <c r="AU449" s="457"/>
      <c r="AV449" s="457"/>
      <c r="AW449" s="457"/>
      <c r="AX449" s="457"/>
      <c r="AY449" s="457"/>
      <c r="AZ449" s="457"/>
      <c r="BA449" s="457"/>
      <c r="BB449" s="457"/>
      <c r="BC449" s="457"/>
      <c r="BD449" s="457"/>
      <c r="BE449" s="457"/>
      <c r="BF449" s="457"/>
      <c r="BG449" s="457"/>
      <c r="BH449" s="457"/>
      <c r="BI449" s="457"/>
      <c r="BJ449" s="457"/>
      <c r="BK449" s="457"/>
      <c r="BL449" s="457"/>
      <c r="BM449" s="457"/>
      <c r="BN449" s="457"/>
      <c r="BO449" s="457"/>
      <c r="BP449" s="457"/>
      <c r="BQ449" s="457"/>
      <c r="BR449" s="457"/>
      <c r="BS449" s="457"/>
      <c r="BT449" s="457"/>
      <c r="BU449" s="457"/>
      <c r="BV449" s="457"/>
      <c r="BW449" s="457"/>
      <c r="BX449" s="457"/>
      <c r="BY449" s="457"/>
      <c r="BZ449" s="457"/>
      <c r="CA449" s="457"/>
      <c r="CB449" s="457"/>
      <c r="CC449" s="457"/>
      <c r="CD449" s="457"/>
      <c r="CE449" s="457"/>
      <c r="CF449" s="457"/>
      <c r="CG449" s="457"/>
      <c r="CH449" s="457"/>
      <c r="CI449" s="457"/>
      <c r="CJ449" s="457"/>
      <c r="CK449" s="457"/>
      <c r="CL449" s="457"/>
      <c r="CM449" s="457"/>
      <c r="CN449" s="457"/>
      <c r="CO449" s="457"/>
      <c r="CP449" s="457"/>
      <c r="CQ449" s="457"/>
      <c r="CR449" s="457"/>
      <c r="CS449" s="457"/>
      <c r="CT449" s="457"/>
      <c r="CU449" s="457"/>
      <c r="CV449" s="457"/>
      <c r="CW449" s="457"/>
      <c r="CX449" s="457"/>
      <c r="CY449" s="457"/>
      <c r="CZ449" s="457"/>
      <c r="DA449" s="457"/>
      <c r="DB449" s="457"/>
      <c r="DC449" s="457"/>
      <c r="DD449" s="457"/>
      <c r="DE449" s="457"/>
      <c r="DF449" s="457"/>
      <c r="DG449" s="457"/>
      <c r="DH449" s="457"/>
      <c r="DI449" s="457"/>
      <c r="DJ449" s="457"/>
      <c r="DK449" s="457"/>
      <c r="DL449" s="457"/>
      <c r="DM449" s="457"/>
      <c r="DN449" s="457"/>
      <c r="DO449" s="457"/>
      <c r="DP449" s="457"/>
      <c r="DQ449" s="457"/>
      <c r="DR449" s="457"/>
      <c r="DS449" s="457"/>
      <c r="DT449" s="457"/>
      <c r="DU449" s="457"/>
      <c r="DV449" s="457"/>
      <c r="DW449" s="457"/>
      <c r="DX449" s="457"/>
      <c r="DY449" s="457"/>
      <c r="DZ449" s="457"/>
      <c r="EA449" s="457"/>
      <c r="EB449" s="457"/>
      <c r="EC449" s="457"/>
      <c r="ED449" s="457"/>
      <c r="EE449" s="457"/>
      <c r="EF449" s="457"/>
      <c r="EG449" s="457"/>
      <c r="EH449" s="457"/>
      <c r="EI449" s="457"/>
      <c r="EJ449" s="457"/>
      <c r="EK449" s="457"/>
      <c r="EL449" s="457"/>
      <c r="EM449" s="457"/>
      <c r="EN449" s="457"/>
      <c r="EO449" s="457"/>
      <c r="EP449" s="457"/>
      <c r="EQ449" s="457"/>
      <c r="ER449" s="457"/>
      <c r="ES449" s="457"/>
      <c r="ET449" s="457"/>
      <c r="EU449" s="457"/>
      <c r="EV449" s="457"/>
      <c r="EW449" s="457"/>
      <c r="EX449" s="457"/>
      <c r="EY449" s="457"/>
      <c r="EZ449" s="457"/>
      <c r="FA449" s="457"/>
      <c r="FB449" s="457"/>
      <c r="FC449" s="457"/>
      <c r="FD449" s="457"/>
      <c r="FE449" s="457"/>
      <c r="FF449" s="457"/>
      <c r="FG449" s="457"/>
      <c r="FH449" s="457"/>
      <c r="FI449" s="457"/>
      <c r="FJ449" s="457"/>
      <c r="FK449" s="457"/>
      <c r="FL449" s="457"/>
      <c r="FM449" s="457"/>
      <c r="FN449" s="457"/>
      <c r="FO449" s="457"/>
      <c r="FP449" s="457"/>
      <c r="FQ449" s="457"/>
      <c r="FR449" s="457"/>
      <c r="FS449" s="457"/>
      <c r="FT449" s="457"/>
      <c r="FU449" s="457"/>
      <c r="FV449" s="457"/>
      <c r="FW449" s="457"/>
      <c r="FX449" s="457"/>
      <c r="FY449" s="457"/>
      <c r="FZ449" s="457"/>
      <c r="GA449" s="457"/>
      <c r="GB449" s="457"/>
      <c r="GC449" s="457"/>
      <c r="GD449" s="457"/>
      <c r="GE449" s="457"/>
      <c r="GF449" s="457"/>
      <c r="GG449" s="457"/>
      <c r="GH449" s="457"/>
      <c r="GI449" s="457"/>
      <c r="GJ449" s="457"/>
      <c r="GK449" s="457"/>
      <c r="GL449" s="457"/>
      <c r="GM449" s="457"/>
      <c r="GN449" s="457"/>
      <c r="GO449" s="457"/>
      <c r="GP449" s="457"/>
      <c r="GQ449" s="457"/>
      <c r="GR449" s="457"/>
      <c r="GS449" s="457"/>
      <c r="GT449" s="457"/>
      <c r="GU449" s="457"/>
      <c r="GV449" s="457"/>
      <c r="GW449" s="457"/>
      <c r="GX449" s="457"/>
      <c r="GY449" s="457"/>
      <c r="GZ449" s="457"/>
      <c r="HA449" s="457"/>
      <c r="HB449" s="457"/>
      <c r="HC449" s="457"/>
      <c r="HD449" s="457"/>
      <c r="HE449" s="457"/>
      <c r="HF449" s="457"/>
      <c r="HG449" s="457"/>
      <c r="HH449" s="457"/>
      <c r="HI449" s="457"/>
      <c r="HJ449" s="457"/>
      <c r="HK449" s="457"/>
      <c r="HL449" s="457"/>
      <c r="HM449" s="457"/>
      <c r="HN449" s="457"/>
      <c r="HO449" s="457"/>
      <c r="HP449" s="457"/>
      <c r="HQ449" s="457"/>
      <c r="HR449" s="457"/>
      <c r="HS449" s="457"/>
      <c r="HT449" s="457"/>
      <c r="HU449" s="457"/>
      <c r="HV449" s="457"/>
      <c r="HW449" s="457"/>
      <c r="HX449" s="457"/>
      <c r="HY449" s="457"/>
      <c r="HZ449" s="457"/>
      <c r="IA449" s="457"/>
      <c r="IB449" s="457"/>
      <c r="IC449" s="457"/>
      <c r="ID449" s="457"/>
      <c r="IE449" s="457"/>
      <c r="IF449" s="457"/>
      <c r="IG449" s="457"/>
      <c r="IH449" s="457"/>
      <c r="II449" s="457"/>
      <c r="IJ449" s="457"/>
      <c r="IK449" s="457"/>
      <c r="IL449" s="457"/>
      <c r="IM449" s="457"/>
      <c r="IN449" s="457"/>
      <c r="IO449" s="457"/>
      <c r="IP449" s="457"/>
      <c r="IQ449" s="457"/>
      <c r="IR449" s="457"/>
      <c r="IS449" s="457"/>
      <c r="IT449" s="457"/>
      <c r="IU449" s="457"/>
    </row>
    <row r="450" spans="1:255" s="12" customFormat="1">
      <c r="A450" s="444"/>
      <c r="B450" s="461" t="s">
        <v>2861</v>
      </c>
      <c r="C450" s="453"/>
      <c r="D450" s="454"/>
      <c r="E450" s="297"/>
      <c r="F450" s="456"/>
      <c r="I450" s="457"/>
      <c r="J450" s="457"/>
      <c r="K450" s="457"/>
      <c r="L450" s="457"/>
      <c r="M450" s="457"/>
      <c r="N450" s="457"/>
      <c r="O450" s="457"/>
      <c r="P450" s="457"/>
      <c r="Q450" s="457"/>
      <c r="R450" s="457"/>
      <c r="S450" s="457"/>
      <c r="T450" s="457"/>
      <c r="U450" s="457"/>
      <c r="V450" s="457"/>
      <c r="W450" s="457"/>
      <c r="X450" s="457"/>
      <c r="Y450" s="457"/>
      <c r="Z450" s="457"/>
      <c r="AA450" s="457"/>
      <c r="AB450" s="457"/>
      <c r="AC450" s="457"/>
      <c r="AD450" s="457"/>
      <c r="AE450" s="457"/>
      <c r="AF450" s="457"/>
      <c r="AG450" s="457"/>
      <c r="AH450" s="457"/>
      <c r="AI450" s="457"/>
      <c r="AJ450" s="457"/>
      <c r="AK450" s="457"/>
      <c r="AL450" s="457"/>
      <c r="AM450" s="457"/>
      <c r="AN450" s="457"/>
      <c r="AO450" s="457"/>
      <c r="AP450" s="457"/>
      <c r="AQ450" s="457"/>
      <c r="AR450" s="457"/>
      <c r="AS450" s="457"/>
      <c r="AT450" s="457"/>
      <c r="AU450" s="457"/>
      <c r="AV450" s="457"/>
      <c r="AW450" s="457"/>
      <c r="AX450" s="457"/>
      <c r="AY450" s="457"/>
      <c r="AZ450" s="457"/>
      <c r="BA450" s="457"/>
      <c r="BB450" s="457"/>
      <c r="BC450" s="457"/>
      <c r="BD450" s="457"/>
      <c r="BE450" s="457"/>
      <c r="BF450" s="457"/>
      <c r="BG450" s="457"/>
      <c r="BH450" s="457"/>
      <c r="BI450" s="457"/>
      <c r="BJ450" s="457"/>
      <c r="BK450" s="457"/>
      <c r="BL450" s="457"/>
      <c r="BM450" s="457"/>
      <c r="BN450" s="457"/>
      <c r="BO450" s="457"/>
      <c r="BP450" s="457"/>
      <c r="BQ450" s="457"/>
      <c r="BR450" s="457"/>
      <c r="BS450" s="457"/>
      <c r="BT450" s="457"/>
      <c r="BU450" s="457"/>
      <c r="BV450" s="457"/>
      <c r="BW450" s="457"/>
      <c r="BX450" s="457"/>
      <c r="BY450" s="457"/>
      <c r="BZ450" s="457"/>
      <c r="CA450" s="457"/>
      <c r="CB450" s="457"/>
      <c r="CC450" s="457"/>
      <c r="CD450" s="457"/>
      <c r="CE450" s="457"/>
      <c r="CF450" s="457"/>
      <c r="CG450" s="457"/>
      <c r="CH450" s="457"/>
      <c r="CI450" s="457"/>
      <c r="CJ450" s="457"/>
      <c r="CK450" s="457"/>
      <c r="CL450" s="457"/>
      <c r="CM450" s="457"/>
      <c r="CN450" s="457"/>
      <c r="CO450" s="457"/>
      <c r="CP450" s="457"/>
      <c r="CQ450" s="457"/>
      <c r="CR450" s="457"/>
      <c r="CS450" s="457"/>
      <c r="CT450" s="457"/>
      <c r="CU450" s="457"/>
      <c r="CV450" s="457"/>
      <c r="CW450" s="457"/>
      <c r="CX450" s="457"/>
      <c r="CY450" s="457"/>
      <c r="CZ450" s="457"/>
      <c r="DA450" s="457"/>
      <c r="DB450" s="457"/>
      <c r="DC450" s="457"/>
      <c r="DD450" s="457"/>
      <c r="DE450" s="457"/>
      <c r="DF450" s="457"/>
      <c r="DG450" s="457"/>
      <c r="DH450" s="457"/>
      <c r="DI450" s="457"/>
      <c r="DJ450" s="457"/>
      <c r="DK450" s="457"/>
      <c r="DL450" s="457"/>
      <c r="DM450" s="457"/>
      <c r="DN450" s="457"/>
      <c r="DO450" s="457"/>
      <c r="DP450" s="457"/>
      <c r="DQ450" s="457"/>
      <c r="DR450" s="457"/>
      <c r="DS450" s="457"/>
      <c r="DT450" s="457"/>
      <c r="DU450" s="457"/>
      <c r="DV450" s="457"/>
      <c r="DW450" s="457"/>
      <c r="DX450" s="457"/>
      <c r="DY450" s="457"/>
      <c r="DZ450" s="457"/>
      <c r="EA450" s="457"/>
      <c r="EB450" s="457"/>
      <c r="EC450" s="457"/>
      <c r="ED450" s="457"/>
      <c r="EE450" s="457"/>
      <c r="EF450" s="457"/>
      <c r="EG450" s="457"/>
      <c r="EH450" s="457"/>
      <c r="EI450" s="457"/>
      <c r="EJ450" s="457"/>
      <c r="EK450" s="457"/>
      <c r="EL450" s="457"/>
      <c r="EM450" s="457"/>
      <c r="EN450" s="457"/>
      <c r="EO450" s="457"/>
      <c r="EP450" s="457"/>
      <c r="EQ450" s="457"/>
      <c r="ER450" s="457"/>
      <c r="ES450" s="457"/>
      <c r="ET450" s="457"/>
      <c r="EU450" s="457"/>
      <c r="EV450" s="457"/>
      <c r="EW450" s="457"/>
      <c r="EX450" s="457"/>
      <c r="EY450" s="457"/>
      <c r="EZ450" s="457"/>
      <c r="FA450" s="457"/>
      <c r="FB450" s="457"/>
      <c r="FC450" s="457"/>
      <c r="FD450" s="457"/>
      <c r="FE450" s="457"/>
      <c r="FF450" s="457"/>
      <c r="FG450" s="457"/>
      <c r="FH450" s="457"/>
      <c r="FI450" s="457"/>
      <c r="FJ450" s="457"/>
      <c r="FK450" s="457"/>
      <c r="FL450" s="457"/>
      <c r="FM450" s="457"/>
      <c r="FN450" s="457"/>
      <c r="FO450" s="457"/>
      <c r="FP450" s="457"/>
      <c r="FQ450" s="457"/>
      <c r="FR450" s="457"/>
      <c r="FS450" s="457"/>
      <c r="FT450" s="457"/>
      <c r="FU450" s="457"/>
      <c r="FV450" s="457"/>
      <c r="FW450" s="457"/>
      <c r="FX450" s="457"/>
      <c r="FY450" s="457"/>
      <c r="FZ450" s="457"/>
      <c r="GA450" s="457"/>
      <c r="GB450" s="457"/>
      <c r="GC450" s="457"/>
      <c r="GD450" s="457"/>
      <c r="GE450" s="457"/>
      <c r="GF450" s="457"/>
      <c r="GG450" s="457"/>
      <c r="GH450" s="457"/>
      <c r="GI450" s="457"/>
      <c r="GJ450" s="457"/>
      <c r="GK450" s="457"/>
      <c r="GL450" s="457"/>
      <c r="GM450" s="457"/>
      <c r="GN450" s="457"/>
      <c r="GO450" s="457"/>
      <c r="GP450" s="457"/>
      <c r="GQ450" s="457"/>
      <c r="GR450" s="457"/>
      <c r="GS450" s="457"/>
      <c r="GT450" s="457"/>
      <c r="GU450" s="457"/>
      <c r="GV450" s="457"/>
      <c r="GW450" s="457"/>
      <c r="GX450" s="457"/>
      <c r="GY450" s="457"/>
      <c r="GZ450" s="457"/>
      <c r="HA450" s="457"/>
      <c r="HB450" s="457"/>
      <c r="HC450" s="457"/>
      <c r="HD450" s="457"/>
      <c r="HE450" s="457"/>
      <c r="HF450" s="457"/>
      <c r="HG450" s="457"/>
      <c r="HH450" s="457"/>
      <c r="HI450" s="457"/>
      <c r="HJ450" s="457"/>
      <c r="HK450" s="457"/>
      <c r="HL450" s="457"/>
      <c r="HM450" s="457"/>
      <c r="HN450" s="457"/>
      <c r="HO450" s="457"/>
      <c r="HP450" s="457"/>
      <c r="HQ450" s="457"/>
      <c r="HR450" s="457"/>
      <c r="HS450" s="457"/>
      <c r="HT450" s="457"/>
      <c r="HU450" s="457"/>
      <c r="HV450" s="457"/>
      <c r="HW450" s="457"/>
      <c r="HX450" s="457"/>
      <c r="HY450" s="457"/>
      <c r="HZ450" s="457"/>
      <c r="IA450" s="457"/>
      <c r="IB450" s="457"/>
      <c r="IC450" s="457"/>
      <c r="ID450" s="457"/>
      <c r="IE450" s="457"/>
      <c r="IF450" s="457"/>
      <c r="IG450" s="457"/>
      <c r="IH450" s="457"/>
      <c r="II450" s="457"/>
      <c r="IJ450" s="457"/>
      <c r="IK450" s="457"/>
      <c r="IL450" s="457"/>
      <c r="IM450" s="457"/>
      <c r="IN450" s="457"/>
      <c r="IO450" s="457"/>
      <c r="IP450" s="457"/>
      <c r="IQ450" s="457"/>
      <c r="IR450" s="457"/>
      <c r="IS450" s="457"/>
      <c r="IT450" s="457"/>
      <c r="IU450" s="457"/>
    </row>
    <row r="451" spans="1:255" s="12" customFormat="1">
      <c r="A451" s="444"/>
      <c r="B451" s="461" t="s">
        <v>75</v>
      </c>
      <c r="C451" s="453"/>
      <c r="D451" s="454"/>
      <c r="E451" s="297"/>
      <c r="F451" s="456"/>
      <c r="I451" s="457"/>
      <c r="J451" s="457"/>
      <c r="K451" s="457"/>
      <c r="L451" s="457"/>
      <c r="M451" s="457"/>
      <c r="N451" s="457"/>
      <c r="O451" s="457"/>
      <c r="P451" s="457"/>
      <c r="Q451" s="457"/>
      <c r="R451" s="457"/>
      <c r="S451" s="457"/>
      <c r="T451" s="457"/>
      <c r="U451" s="457"/>
      <c r="V451" s="457"/>
      <c r="W451" s="457"/>
      <c r="X451" s="457"/>
      <c r="Y451" s="457"/>
      <c r="Z451" s="457"/>
      <c r="AA451" s="457"/>
      <c r="AB451" s="457"/>
      <c r="AC451" s="457"/>
      <c r="AD451" s="457"/>
      <c r="AE451" s="457"/>
      <c r="AF451" s="457"/>
      <c r="AG451" s="457"/>
      <c r="AH451" s="457"/>
      <c r="AI451" s="457"/>
      <c r="AJ451" s="457"/>
      <c r="AK451" s="457"/>
      <c r="AL451" s="457"/>
      <c r="AM451" s="457"/>
      <c r="AN451" s="457"/>
      <c r="AO451" s="457"/>
      <c r="AP451" s="457"/>
      <c r="AQ451" s="457"/>
      <c r="AR451" s="457"/>
      <c r="AS451" s="457"/>
      <c r="AT451" s="457"/>
      <c r="AU451" s="457"/>
      <c r="AV451" s="457"/>
      <c r="AW451" s="457"/>
      <c r="AX451" s="457"/>
      <c r="AY451" s="457"/>
      <c r="AZ451" s="457"/>
      <c r="BA451" s="457"/>
      <c r="BB451" s="457"/>
      <c r="BC451" s="457"/>
      <c r="BD451" s="457"/>
      <c r="BE451" s="457"/>
      <c r="BF451" s="457"/>
      <c r="BG451" s="457"/>
      <c r="BH451" s="457"/>
      <c r="BI451" s="457"/>
      <c r="BJ451" s="457"/>
      <c r="BK451" s="457"/>
      <c r="BL451" s="457"/>
      <c r="BM451" s="457"/>
      <c r="BN451" s="457"/>
      <c r="BO451" s="457"/>
      <c r="BP451" s="457"/>
      <c r="BQ451" s="457"/>
      <c r="BR451" s="457"/>
      <c r="BS451" s="457"/>
      <c r="BT451" s="457"/>
      <c r="BU451" s="457"/>
      <c r="BV451" s="457"/>
      <c r="BW451" s="457"/>
      <c r="BX451" s="457"/>
      <c r="BY451" s="457"/>
      <c r="BZ451" s="457"/>
      <c r="CA451" s="457"/>
      <c r="CB451" s="457"/>
      <c r="CC451" s="457"/>
      <c r="CD451" s="457"/>
      <c r="CE451" s="457"/>
      <c r="CF451" s="457"/>
      <c r="CG451" s="457"/>
      <c r="CH451" s="457"/>
      <c r="CI451" s="457"/>
      <c r="CJ451" s="457"/>
      <c r="CK451" s="457"/>
      <c r="CL451" s="457"/>
      <c r="CM451" s="457"/>
      <c r="CN451" s="457"/>
      <c r="CO451" s="457"/>
      <c r="CP451" s="457"/>
      <c r="CQ451" s="457"/>
      <c r="CR451" s="457"/>
      <c r="CS451" s="457"/>
      <c r="CT451" s="457"/>
      <c r="CU451" s="457"/>
      <c r="CV451" s="457"/>
      <c r="CW451" s="457"/>
      <c r="CX451" s="457"/>
      <c r="CY451" s="457"/>
      <c r="CZ451" s="457"/>
      <c r="DA451" s="457"/>
      <c r="DB451" s="457"/>
      <c r="DC451" s="457"/>
      <c r="DD451" s="457"/>
      <c r="DE451" s="457"/>
      <c r="DF451" s="457"/>
      <c r="DG451" s="457"/>
      <c r="DH451" s="457"/>
      <c r="DI451" s="457"/>
      <c r="DJ451" s="457"/>
      <c r="DK451" s="457"/>
      <c r="DL451" s="457"/>
      <c r="DM451" s="457"/>
      <c r="DN451" s="457"/>
      <c r="DO451" s="457"/>
      <c r="DP451" s="457"/>
      <c r="DQ451" s="457"/>
      <c r="DR451" s="457"/>
      <c r="DS451" s="457"/>
      <c r="DT451" s="457"/>
      <c r="DU451" s="457"/>
      <c r="DV451" s="457"/>
      <c r="DW451" s="457"/>
      <c r="DX451" s="457"/>
      <c r="DY451" s="457"/>
      <c r="DZ451" s="457"/>
      <c r="EA451" s="457"/>
      <c r="EB451" s="457"/>
      <c r="EC451" s="457"/>
      <c r="ED451" s="457"/>
      <c r="EE451" s="457"/>
      <c r="EF451" s="457"/>
      <c r="EG451" s="457"/>
      <c r="EH451" s="457"/>
      <c r="EI451" s="457"/>
      <c r="EJ451" s="457"/>
      <c r="EK451" s="457"/>
      <c r="EL451" s="457"/>
      <c r="EM451" s="457"/>
      <c r="EN451" s="457"/>
      <c r="EO451" s="457"/>
      <c r="EP451" s="457"/>
      <c r="EQ451" s="457"/>
      <c r="ER451" s="457"/>
      <c r="ES451" s="457"/>
      <c r="ET451" s="457"/>
      <c r="EU451" s="457"/>
      <c r="EV451" s="457"/>
      <c r="EW451" s="457"/>
      <c r="EX451" s="457"/>
      <c r="EY451" s="457"/>
      <c r="EZ451" s="457"/>
      <c r="FA451" s="457"/>
      <c r="FB451" s="457"/>
      <c r="FC451" s="457"/>
      <c r="FD451" s="457"/>
      <c r="FE451" s="457"/>
      <c r="FF451" s="457"/>
      <c r="FG451" s="457"/>
      <c r="FH451" s="457"/>
      <c r="FI451" s="457"/>
      <c r="FJ451" s="457"/>
      <c r="FK451" s="457"/>
      <c r="FL451" s="457"/>
      <c r="FM451" s="457"/>
      <c r="FN451" s="457"/>
      <c r="FO451" s="457"/>
      <c r="FP451" s="457"/>
      <c r="FQ451" s="457"/>
      <c r="FR451" s="457"/>
      <c r="FS451" s="457"/>
      <c r="FT451" s="457"/>
      <c r="FU451" s="457"/>
      <c r="FV451" s="457"/>
      <c r="FW451" s="457"/>
      <c r="FX451" s="457"/>
      <c r="FY451" s="457"/>
      <c r="FZ451" s="457"/>
      <c r="GA451" s="457"/>
      <c r="GB451" s="457"/>
      <c r="GC451" s="457"/>
      <c r="GD451" s="457"/>
      <c r="GE451" s="457"/>
      <c r="GF451" s="457"/>
      <c r="GG451" s="457"/>
      <c r="GH451" s="457"/>
      <c r="GI451" s="457"/>
      <c r="GJ451" s="457"/>
      <c r="GK451" s="457"/>
      <c r="GL451" s="457"/>
      <c r="GM451" s="457"/>
      <c r="GN451" s="457"/>
      <c r="GO451" s="457"/>
      <c r="GP451" s="457"/>
      <c r="GQ451" s="457"/>
      <c r="GR451" s="457"/>
      <c r="GS451" s="457"/>
      <c r="GT451" s="457"/>
      <c r="GU451" s="457"/>
      <c r="GV451" s="457"/>
      <c r="GW451" s="457"/>
      <c r="GX451" s="457"/>
      <c r="GY451" s="457"/>
      <c r="GZ451" s="457"/>
      <c r="HA451" s="457"/>
      <c r="HB451" s="457"/>
      <c r="HC451" s="457"/>
      <c r="HD451" s="457"/>
      <c r="HE451" s="457"/>
      <c r="HF451" s="457"/>
      <c r="HG451" s="457"/>
      <c r="HH451" s="457"/>
      <c r="HI451" s="457"/>
      <c r="HJ451" s="457"/>
      <c r="HK451" s="457"/>
      <c r="HL451" s="457"/>
      <c r="HM451" s="457"/>
      <c r="HN451" s="457"/>
      <c r="HO451" s="457"/>
      <c r="HP451" s="457"/>
      <c r="HQ451" s="457"/>
      <c r="HR451" s="457"/>
      <c r="HS451" s="457"/>
      <c r="HT451" s="457"/>
      <c r="HU451" s="457"/>
      <c r="HV451" s="457"/>
      <c r="HW451" s="457"/>
      <c r="HX451" s="457"/>
      <c r="HY451" s="457"/>
      <c r="HZ451" s="457"/>
      <c r="IA451" s="457"/>
      <c r="IB451" s="457"/>
      <c r="IC451" s="457"/>
      <c r="ID451" s="457"/>
      <c r="IE451" s="457"/>
      <c r="IF451" s="457"/>
      <c r="IG451" s="457"/>
      <c r="IH451" s="457"/>
      <c r="II451" s="457"/>
      <c r="IJ451" s="457"/>
      <c r="IK451" s="457"/>
      <c r="IL451" s="457"/>
      <c r="IM451" s="457"/>
      <c r="IN451" s="457"/>
      <c r="IO451" s="457"/>
      <c r="IP451" s="457"/>
      <c r="IQ451" s="457"/>
      <c r="IR451" s="457"/>
      <c r="IS451" s="457"/>
      <c r="IT451" s="457"/>
      <c r="IU451" s="457"/>
    </row>
    <row r="452" spans="1:255" s="12" customFormat="1" ht="60">
      <c r="A452" s="444"/>
      <c r="B452" s="462" t="s">
        <v>2862</v>
      </c>
      <c r="C452" s="459" t="s">
        <v>76</v>
      </c>
      <c r="D452" s="296">
        <v>1</v>
      </c>
      <c r="E452" s="434"/>
      <c r="F452" s="434"/>
      <c r="I452" s="457"/>
      <c r="J452" s="457"/>
      <c r="K452" s="457"/>
      <c r="L452" s="457"/>
      <c r="M452" s="457"/>
      <c r="N452" s="457"/>
      <c r="O452" s="457"/>
      <c r="P452" s="457"/>
      <c r="Q452" s="457"/>
      <c r="R452" s="457"/>
      <c r="S452" s="457"/>
      <c r="T452" s="457"/>
      <c r="U452" s="457"/>
      <c r="V452" s="457"/>
      <c r="W452" s="457"/>
      <c r="X452" s="457"/>
      <c r="Y452" s="457"/>
      <c r="Z452" s="457"/>
      <c r="AA452" s="457"/>
      <c r="AB452" s="457"/>
      <c r="AC452" s="457"/>
      <c r="AD452" s="457"/>
      <c r="AE452" s="457"/>
      <c r="AF452" s="457"/>
      <c r="AG452" s="457"/>
      <c r="AH452" s="457"/>
      <c r="AI452" s="457"/>
      <c r="AJ452" s="457"/>
      <c r="AK452" s="457"/>
      <c r="AL452" s="457"/>
      <c r="AM452" s="457"/>
      <c r="AN452" s="457"/>
      <c r="AO452" s="457"/>
      <c r="AP452" s="457"/>
      <c r="AQ452" s="457"/>
      <c r="AR452" s="457"/>
      <c r="AS452" s="457"/>
      <c r="AT452" s="457"/>
      <c r="AU452" s="457"/>
      <c r="AV452" s="457"/>
      <c r="AW452" s="457"/>
      <c r="AX452" s="457"/>
      <c r="AY452" s="457"/>
      <c r="AZ452" s="457"/>
      <c r="BA452" s="457"/>
      <c r="BB452" s="457"/>
      <c r="BC452" s="457"/>
      <c r="BD452" s="457"/>
      <c r="BE452" s="457"/>
      <c r="BF452" s="457"/>
      <c r="BG452" s="457"/>
      <c r="BH452" s="457"/>
      <c r="BI452" s="457"/>
      <c r="BJ452" s="457"/>
      <c r="BK452" s="457"/>
      <c r="BL452" s="457"/>
      <c r="BM452" s="457"/>
      <c r="BN452" s="457"/>
      <c r="BO452" s="457"/>
      <c r="BP452" s="457"/>
      <c r="BQ452" s="457"/>
      <c r="BR452" s="457"/>
      <c r="BS452" s="457"/>
      <c r="BT452" s="457"/>
      <c r="BU452" s="457"/>
      <c r="BV452" s="457"/>
      <c r="BW452" s="457"/>
      <c r="BX452" s="457"/>
      <c r="BY452" s="457"/>
      <c r="BZ452" s="457"/>
      <c r="CA452" s="457"/>
      <c r="CB452" s="457"/>
      <c r="CC452" s="457"/>
      <c r="CD452" s="457"/>
      <c r="CE452" s="457"/>
      <c r="CF452" s="457"/>
      <c r="CG452" s="457"/>
      <c r="CH452" s="457"/>
      <c r="CI452" s="457"/>
      <c r="CJ452" s="457"/>
      <c r="CK452" s="457"/>
      <c r="CL452" s="457"/>
      <c r="CM452" s="457"/>
      <c r="CN452" s="457"/>
      <c r="CO452" s="457"/>
      <c r="CP452" s="457"/>
      <c r="CQ452" s="457"/>
      <c r="CR452" s="457"/>
      <c r="CS452" s="457"/>
      <c r="CT452" s="457"/>
      <c r="CU452" s="457"/>
      <c r="CV452" s="457"/>
      <c r="CW452" s="457"/>
      <c r="CX452" s="457"/>
      <c r="CY452" s="457"/>
      <c r="CZ452" s="457"/>
      <c r="DA452" s="457"/>
      <c r="DB452" s="457"/>
      <c r="DC452" s="457"/>
      <c r="DD452" s="457"/>
      <c r="DE452" s="457"/>
      <c r="DF452" s="457"/>
      <c r="DG452" s="457"/>
      <c r="DH452" s="457"/>
      <c r="DI452" s="457"/>
      <c r="DJ452" s="457"/>
      <c r="DK452" s="457"/>
      <c r="DL452" s="457"/>
      <c r="DM452" s="457"/>
      <c r="DN452" s="457"/>
      <c r="DO452" s="457"/>
      <c r="DP452" s="457"/>
      <c r="DQ452" s="457"/>
      <c r="DR452" s="457"/>
      <c r="DS452" s="457"/>
      <c r="DT452" s="457"/>
      <c r="DU452" s="457"/>
      <c r="DV452" s="457"/>
      <c r="DW452" s="457"/>
      <c r="DX452" s="457"/>
      <c r="DY452" s="457"/>
      <c r="DZ452" s="457"/>
      <c r="EA452" s="457"/>
      <c r="EB452" s="457"/>
      <c r="EC452" s="457"/>
      <c r="ED452" s="457"/>
      <c r="EE452" s="457"/>
      <c r="EF452" s="457"/>
      <c r="EG452" s="457"/>
      <c r="EH452" s="457"/>
      <c r="EI452" s="457"/>
      <c r="EJ452" s="457"/>
      <c r="EK452" s="457"/>
      <c r="EL452" s="457"/>
      <c r="EM452" s="457"/>
      <c r="EN452" s="457"/>
      <c r="EO452" s="457"/>
      <c r="EP452" s="457"/>
      <c r="EQ452" s="457"/>
      <c r="ER452" s="457"/>
      <c r="ES452" s="457"/>
      <c r="ET452" s="457"/>
      <c r="EU452" s="457"/>
      <c r="EV452" s="457"/>
      <c r="EW452" s="457"/>
      <c r="EX452" s="457"/>
      <c r="EY452" s="457"/>
      <c r="EZ452" s="457"/>
      <c r="FA452" s="457"/>
      <c r="FB452" s="457"/>
      <c r="FC452" s="457"/>
      <c r="FD452" s="457"/>
      <c r="FE452" s="457"/>
      <c r="FF452" s="457"/>
      <c r="FG452" s="457"/>
      <c r="FH452" s="457"/>
      <c r="FI452" s="457"/>
      <c r="FJ452" s="457"/>
      <c r="FK452" s="457"/>
      <c r="FL452" s="457"/>
      <c r="FM452" s="457"/>
      <c r="FN452" s="457"/>
      <c r="FO452" s="457"/>
      <c r="FP452" s="457"/>
      <c r="FQ452" s="457"/>
      <c r="FR452" s="457"/>
      <c r="FS452" s="457"/>
      <c r="FT452" s="457"/>
      <c r="FU452" s="457"/>
      <c r="FV452" s="457"/>
      <c r="FW452" s="457"/>
      <c r="FX452" s="457"/>
      <c r="FY452" s="457"/>
      <c r="FZ452" s="457"/>
      <c r="GA452" s="457"/>
      <c r="GB452" s="457"/>
      <c r="GC452" s="457"/>
      <c r="GD452" s="457"/>
      <c r="GE452" s="457"/>
      <c r="GF452" s="457"/>
      <c r="GG452" s="457"/>
      <c r="GH452" s="457"/>
      <c r="GI452" s="457"/>
      <c r="GJ452" s="457"/>
      <c r="GK452" s="457"/>
      <c r="GL452" s="457"/>
      <c r="GM452" s="457"/>
      <c r="GN452" s="457"/>
      <c r="GO452" s="457"/>
      <c r="GP452" s="457"/>
      <c r="GQ452" s="457"/>
      <c r="GR452" s="457"/>
      <c r="GS452" s="457"/>
      <c r="GT452" s="457"/>
      <c r="GU452" s="457"/>
      <c r="GV452" s="457"/>
      <c r="GW452" s="457"/>
      <c r="GX452" s="457"/>
      <c r="GY452" s="457"/>
      <c r="GZ452" s="457"/>
      <c r="HA452" s="457"/>
      <c r="HB452" s="457"/>
      <c r="HC452" s="457"/>
      <c r="HD452" s="457"/>
      <c r="HE452" s="457"/>
      <c r="HF452" s="457"/>
      <c r="HG452" s="457"/>
      <c r="HH452" s="457"/>
      <c r="HI452" s="457"/>
      <c r="HJ452" s="457"/>
      <c r="HK452" s="457"/>
      <c r="HL452" s="457"/>
      <c r="HM452" s="457"/>
      <c r="HN452" s="457"/>
      <c r="HO452" s="457"/>
      <c r="HP452" s="457"/>
      <c r="HQ452" s="457"/>
      <c r="HR452" s="457"/>
      <c r="HS452" s="457"/>
      <c r="HT452" s="457"/>
      <c r="HU452" s="457"/>
      <c r="HV452" s="457"/>
      <c r="HW452" s="457"/>
      <c r="HX452" s="457"/>
      <c r="HY452" s="457"/>
      <c r="HZ452" s="457"/>
      <c r="IA452" s="457"/>
      <c r="IB452" s="457"/>
      <c r="IC452" s="457"/>
      <c r="ID452" s="457"/>
      <c r="IE452" s="457"/>
      <c r="IF452" s="457"/>
      <c r="IG452" s="457"/>
      <c r="IH452" s="457"/>
      <c r="II452" s="457"/>
      <c r="IJ452" s="457"/>
      <c r="IK452" s="457"/>
      <c r="IL452" s="457"/>
      <c r="IM452" s="457"/>
      <c r="IN452" s="457"/>
      <c r="IO452" s="457"/>
      <c r="IP452" s="457"/>
      <c r="IQ452" s="457"/>
      <c r="IR452" s="457"/>
      <c r="IS452" s="457"/>
      <c r="IT452" s="457"/>
      <c r="IU452" s="457"/>
    </row>
    <row r="453" spans="1:255" s="12" customFormat="1">
      <c r="A453" s="444"/>
      <c r="B453" s="462"/>
      <c r="C453" s="459"/>
      <c r="D453" s="296"/>
      <c r="E453" s="434"/>
      <c r="F453" s="434"/>
      <c r="I453" s="457"/>
      <c r="J453" s="457"/>
      <c r="K453" s="457"/>
      <c r="L453" s="457"/>
      <c r="M453" s="457"/>
      <c r="N453" s="457"/>
      <c r="O453" s="457"/>
      <c r="P453" s="457"/>
      <c r="Q453" s="457"/>
      <c r="R453" s="457"/>
      <c r="S453" s="457"/>
      <c r="T453" s="457"/>
      <c r="U453" s="457"/>
      <c r="V453" s="457"/>
      <c r="W453" s="457"/>
      <c r="X453" s="457"/>
      <c r="Y453" s="457"/>
      <c r="Z453" s="457"/>
      <c r="AA453" s="457"/>
      <c r="AB453" s="457"/>
      <c r="AC453" s="457"/>
      <c r="AD453" s="457"/>
      <c r="AE453" s="457"/>
      <c r="AF453" s="457"/>
      <c r="AG453" s="457"/>
      <c r="AH453" s="457"/>
      <c r="AI453" s="457"/>
      <c r="AJ453" s="457"/>
      <c r="AK453" s="457"/>
      <c r="AL453" s="457"/>
      <c r="AM453" s="457"/>
      <c r="AN453" s="457"/>
      <c r="AO453" s="457"/>
      <c r="AP453" s="457"/>
      <c r="AQ453" s="457"/>
      <c r="AR453" s="457"/>
      <c r="AS453" s="457"/>
      <c r="AT453" s="457"/>
      <c r="AU453" s="457"/>
      <c r="AV453" s="457"/>
      <c r="AW453" s="457"/>
      <c r="AX453" s="457"/>
      <c r="AY453" s="457"/>
      <c r="AZ453" s="457"/>
      <c r="BA453" s="457"/>
      <c r="BB453" s="457"/>
      <c r="BC453" s="457"/>
      <c r="BD453" s="457"/>
      <c r="BE453" s="457"/>
      <c r="BF453" s="457"/>
      <c r="BG453" s="457"/>
      <c r="BH453" s="457"/>
      <c r="BI453" s="457"/>
      <c r="BJ453" s="457"/>
      <c r="BK453" s="457"/>
      <c r="BL453" s="457"/>
      <c r="BM453" s="457"/>
      <c r="BN453" s="457"/>
      <c r="BO453" s="457"/>
      <c r="BP453" s="457"/>
      <c r="BQ453" s="457"/>
      <c r="BR453" s="457"/>
      <c r="BS453" s="457"/>
      <c r="BT453" s="457"/>
      <c r="BU453" s="457"/>
      <c r="BV453" s="457"/>
      <c r="BW453" s="457"/>
      <c r="BX453" s="457"/>
      <c r="BY453" s="457"/>
      <c r="BZ453" s="457"/>
      <c r="CA453" s="457"/>
      <c r="CB453" s="457"/>
      <c r="CC453" s="457"/>
      <c r="CD453" s="457"/>
      <c r="CE453" s="457"/>
      <c r="CF453" s="457"/>
      <c r="CG453" s="457"/>
      <c r="CH453" s="457"/>
      <c r="CI453" s="457"/>
      <c r="CJ453" s="457"/>
      <c r="CK453" s="457"/>
      <c r="CL453" s="457"/>
      <c r="CM453" s="457"/>
      <c r="CN453" s="457"/>
      <c r="CO453" s="457"/>
      <c r="CP453" s="457"/>
      <c r="CQ453" s="457"/>
      <c r="CR453" s="457"/>
      <c r="CS453" s="457"/>
      <c r="CT453" s="457"/>
      <c r="CU453" s="457"/>
      <c r="CV453" s="457"/>
      <c r="CW453" s="457"/>
      <c r="CX453" s="457"/>
      <c r="CY453" s="457"/>
      <c r="CZ453" s="457"/>
      <c r="DA453" s="457"/>
      <c r="DB453" s="457"/>
      <c r="DC453" s="457"/>
      <c r="DD453" s="457"/>
      <c r="DE453" s="457"/>
      <c r="DF453" s="457"/>
      <c r="DG453" s="457"/>
      <c r="DH453" s="457"/>
      <c r="DI453" s="457"/>
      <c r="DJ453" s="457"/>
      <c r="DK453" s="457"/>
      <c r="DL453" s="457"/>
      <c r="DM453" s="457"/>
      <c r="DN453" s="457"/>
      <c r="DO453" s="457"/>
      <c r="DP453" s="457"/>
      <c r="DQ453" s="457"/>
      <c r="DR453" s="457"/>
      <c r="DS453" s="457"/>
      <c r="DT453" s="457"/>
      <c r="DU453" s="457"/>
      <c r="DV453" s="457"/>
      <c r="DW453" s="457"/>
      <c r="DX453" s="457"/>
      <c r="DY453" s="457"/>
      <c r="DZ453" s="457"/>
      <c r="EA453" s="457"/>
      <c r="EB453" s="457"/>
      <c r="EC453" s="457"/>
      <c r="ED453" s="457"/>
      <c r="EE453" s="457"/>
      <c r="EF453" s="457"/>
      <c r="EG453" s="457"/>
      <c r="EH453" s="457"/>
      <c r="EI453" s="457"/>
      <c r="EJ453" s="457"/>
      <c r="EK453" s="457"/>
      <c r="EL453" s="457"/>
      <c r="EM453" s="457"/>
      <c r="EN453" s="457"/>
      <c r="EO453" s="457"/>
      <c r="EP453" s="457"/>
      <c r="EQ453" s="457"/>
      <c r="ER453" s="457"/>
      <c r="ES453" s="457"/>
      <c r="ET453" s="457"/>
      <c r="EU453" s="457"/>
      <c r="EV453" s="457"/>
      <c r="EW453" s="457"/>
      <c r="EX453" s="457"/>
      <c r="EY453" s="457"/>
      <c r="EZ453" s="457"/>
      <c r="FA453" s="457"/>
      <c r="FB453" s="457"/>
      <c r="FC453" s="457"/>
      <c r="FD453" s="457"/>
      <c r="FE453" s="457"/>
      <c r="FF453" s="457"/>
      <c r="FG453" s="457"/>
      <c r="FH453" s="457"/>
      <c r="FI453" s="457"/>
      <c r="FJ453" s="457"/>
      <c r="FK453" s="457"/>
      <c r="FL453" s="457"/>
      <c r="FM453" s="457"/>
      <c r="FN453" s="457"/>
      <c r="FO453" s="457"/>
      <c r="FP453" s="457"/>
      <c r="FQ453" s="457"/>
      <c r="FR453" s="457"/>
      <c r="FS453" s="457"/>
      <c r="FT453" s="457"/>
      <c r="FU453" s="457"/>
      <c r="FV453" s="457"/>
      <c r="FW453" s="457"/>
      <c r="FX453" s="457"/>
      <c r="FY453" s="457"/>
      <c r="FZ453" s="457"/>
      <c r="GA453" s="457"/>
      <c r="GB453" s="457"/>
      <c r="GC453" s="457"/>
      <c r="GD453" s="457"/>
      <c r="GE453" s="457"/>
      <c r="GF453" s="457"/>
      <c r="GG453" s="457"/>
      <c r="GH453" s="457"/>
      <c r="GI453" s="457"/>
      <c r="GJ453" s="457"/>
      <c r="GK453" s="457"/>
      <c r="GL453" s="457"/>
      <c r="GM453" s="457"/>
      <c r="GN453" s="457"/>
      <c r="GO453" s="457"/>
      <c r="GP453" s="457"/>
      <c r="GQ453" s="457"/>
      <c r="GR453" s="457"/>
      <c r="GS453" s="457"/>
      <c r="GT453" s="457"/>
      <c r="GU453" s="457"/>
      <c r="GV453" s="457"/>
      <c r="GW453" s="457"/>
      <c r="GX453" s="457"/>
      <c r="GY453" s="457"/>
      <c r="GZ453" s="457"/>
      <c r="HA453" s="457"/>
      <c r="HB453" s="457"/>
      <c r="HC453" s="457"/>
      <c r="HD453" s="457"/>
      <c r="HE453" s="457"/>
      <c r="HF453" s="457"/>
      <c r="HG453" s="457"/>
      <c r="HH453" s="457"/>
      <c r="HI453" s="457"/>
      <c r="HJ453" s="457"/>
      <c r="HK453" s="457"/>
      <c r="HL453" s="457"/>
      <c r="HM453" s="457"/>
      <c r="HN453" s="457"/>
      <c r="HO453" s="457"/>
      <c r="HP453" s="457"/>
      <c r="HQ453" s="457"/>
      <c r="HR453" s="457"/>
      <c r="HS453" s="457"/>
      <c r="HT453" s="457"/>
      <c r="HU453" s="457"/>
      <c r="HV453" s="457"/>
      <c r="HW453" s="457"/>
      <c r="HX453" s="457"/>
      <c r="HY453" s="457"/>
      <c r="HZ453" s="457"/>
      <c r="IA453" s="457"/>
      <c r="IB453" s="457"/>
      <c r="IC453" s="457"/>
      <c r="ID453" s="457"/>
      <c r="IE453" s="457"/>
      <c r="IF453" s="457"/>
      <c r="IG453" s="457"/>
      <c r="IH453" s="457"/>
      <c r="II453" s="457"/>
      <c r="IJ453" s="457"/>
      <c r="IK453" s="457"/>
      <c r="IL453" s="457"/>
      <c r="IM453" s="457"/>
      <c r="IN453" s="457"/>
      <c r="IO453" s="457"/>
      <c r="IP453" s="457"/>
      <c r="IQ453" s="457"/>
      <c r="IR453" s="457"/>
      <c r="IS453" s="457"/>
      <c r="IT453" s="457"/>
      <c r="IU453" s="457"/>
    </row>
    <row r="454" spans="1:255" s="12" customFormat="1" ht="30">
      <c r="A454" s="444">
        <v>3</v>
      </c>
      <c r="B454" s="697" t="s">
        <v>3417</v>
      </c>
      <c r="C454" s="459"/>
      <c r="D454" s="445"/>
      <c r="E454" s="430"/>
    </row>
    <row r="455" spans="1:255" s="12" customFormat="1" ht="30">
      <c r="A455" s="444"/>
      <c r="B455" s="697" t="s">
        <v>2863</v>
      </c>
      <c r="C455" s="459"/>
      <c r="D455" s="445"/>
      <c r="E455" s="430"/>
    </row>
    <row r="456" spans="1:255" s="12" customFormat="1" ht="30">
      <c r="A456" s="444"/>
      <c r="B456" s="697" t="s">
        <v>2864</v>
      </c>
      <c r="C456" s="459"/>
      <c r="D456" s="445"/>
      <c r="E456" s="430"/>
    </row>
    <row r="457" spans="1:255" s="12" customFormat="1" ht="220.9" customHeight="1">
      <c r="A457" s="444"/>
      <c r="B457" s="697" t="s">
        <v>2865</v>
      </c>
      <c r="C457" s="459"/>
      <c r="D457" s="445"/>
      <c r="E457" s="430"/>
      <c r="F457" s="426"/>
    </row>
    <row r="458" spans="1:255" s="12" customFormat="1">
      <c r="A458" s="444"/>
      <c r="B458" s="697" t="s">
        <v>2855</v>
      </c>
      <c r="C458" s="459"/>
      <c r="D458" s="445"/>
      <c r="E458" s="430"/>
    </row>
    <row r="459" spans="1:255" s="12" customFormat="1">
      <c r="A459" s="444"/>
      <c r="B459" s="697" t="s">
        <v>2856</v>
      </c>
      <c r="C459" s="459"/>
      <c r="D459" s="445"/>
      <c r="E459" s="430"/>
    </row>
    <row r="460" spans="1:255" s="12" customFormat="1" ht="30">
      <c r="A460" s="444"/>
      <c r="B460" s="697" t="s">
        <v>2857</v>
      </c>
      <c r="C460" s="459" t="s">
        <v>76</v>
      </c>
      <c r="D460" s="296">
        <v>14</v>
      </c>
      <c r="E460" s="434"/>
      <c r="F460" s="434"/>
    </row>
    <row r="461" spans="1:255" s="12" customFormat="1">
      <c r="A461" s="444"/>
      <c r="B461" s="697"/>
      <c r="C461" s="459"/>
      <c r="D461" s="454"/>
      <c r="E461" s="297"/>
    </row>
    <row r="462" spans="1:255" s="12" customFormat="1" ht="30">
      <c r="A462" s="444">
        <v>4</v>
      </c>
      <c r="B462" s="697" t="s">
        <v>3418</v>
      </c>
      <c r="C462" s="459"/>
      <c r="D462" s="445"/>
      <c r="E462" s="430"/>
    </row>
    <row r="463" spans="1:255" s="12" customFormat="1" ht="195">
      <c r="A463" s="444"/>
      <c r="B463" s="697" t="s">
        <v>2866</v>
      </c>
      <c r="C463" s="459"/>
      <c r="D463" s="445"/>
      <c r="E463" s="430"/>
    </row>
    <row r="464" spans="1:255" s="12" customFormat="1" ht="93.6" customHeight="1">
      <c r="A464" s="444"/>
      <c r="B464" s="697" t="s">
        <v>2867</v>
      </c>
      <c r="C464" s="459"/>
      <c r="D464" s="445"/>
      <c r="E464" s="430"/>
    </row>
    <row r="465" spans="1:247" s="12" customFormat="1" ht="60">
      <c r="A465" s="444"/>
      <c r="B465" s="462" t="s">
        <v>2868</v>
      </c>
      <c r="C465" s="459" t="s">
        <v>76</v>
      </c>
      <c r="D465" s="296">
        <v>11</v>
      </c>
      <c r="E465" s="434"/>
      <c r="F465" s="434"/>
    </row>
    <row r="466" spans="1:247" s="12" customFormat="1">
      <c r="A466" s="444"/>
      <c r="B466" s="697"/>
      <c r="C466" s="459"/>
      <c r="D466" s="296"/>
      <c r="E466" s="434"/>
      <c r="F466" s="434"/>
      <c r="G466" s="457"/>
      <c r="H466" s="457"/>
      <c r="I466" s="457"/>
      <c r="J466" s="457"/>
      <c r="K466" s="457"/>
      <c r="L466" s="457"/>
      <c r="M466" s="457"/>
      <c r="N466" s="457"/>
      <c r="O466" s="457"/>
      <c r="P466" s="457"/>
      <c r="Q466" s="457"/>
      <c r="R466" s="457"/>
      <c r="S466" s="457"/>
      <c r="T466" s="457"/>
      <c r="U466" s="457"/>
      <c r="V466" s="457"/>
      <c r="W466" s="457"/>
      <c r="X466" s="457"/>
      <c r="Y466" s="457"/>
      <c r="Z466" s="457"/>
      <c r="AA466" s="457"/>
      <c r="AB466" s="457"/>
      <c r="AC466" s="457"/>
      <c r="AD466" s="457"/>
      <c r="AE466" s="457"/>
      <c r="AF466" s="457"/>
      <c r="AG466" s="457"/>
      <c r="AH466" s="457"/>
      <c r="AI466" s="457"/>
      <c r="AJ466" s="457"/>
      <c r="AK466" s="457"/>
      <c r="AL466" s="457"/>
      <c r="AM466" s="457"/>
      <c r="AN466" s="457"/>
      <c r="AO466" s="457"/>
      <c r="AP466" s="457"/>
      <c r="AQ466" s="457"/>
      <c r="AR466" s="457"/>
      <c r="AS466" s="457"/>
      <c r="AT466" s="457"/>
      <c r="AU466" s="457"/>
      <c r="AV466" s="457"/>
      <c r="AW466" s="457"/>
      <c r="AX466" s="457"/>
      <c r="AY466" s="457"/>
      <c r="AZ466" s="457"/>
      <c r="BA466" s="457"/>
      <c r="BB466" s="457"/>
      <c r="BC466" s="457"/>
      <c r="BD466" s="457"/>
      <c r="BE466" s="457"/>
      <c r="BF466" s="457"/>
      <c r="BG466" s="457"/>
      <c r="BH466" s="457"/>
      <c r="BI466" s="457"/>
      <c r="BJ466" s="457"/>
      <c r="BK466" s="457"/>
      <c r="BL466" s="457"/>
      <c r="BM466" s="457"/>
      <c r="BN466" s="457"/>
      <c r="BO466" s="457"/>
      <c r="BP466" s="457"/>
      <c r="BQ466" s="457"/>
      <c r="BR466" s="457"/>
      <c r="BS466" s="457"/>
      <c r="BT466" s="457"/>
      <c r="BU466" s="457"/>
      <c r="BV466" s="457"/>
      <c r="BW466" s="457"/>
      <c r="BX466" s="457"/>
      <c r="BY466" s="457"/>
      <c r="BZ466" s="457"/>
      <c r="CA466" s="457"/>
      <c r="CB466" s="457"/>
      <c r="CC466" s="457"/>
      <c r="CD466" s="457"/>
      <c r="CE466" s="457"/>
      <c r="CF466" s="457"/>
      <c r="CG466" s="457"/>
      <c r="CH466" s="457"/>
      <c r="CI466" s="457"/>
      <c r="CJ466" s="457"/>
      <c r="CK466" s="457"/>
      <c r="CL466" s="457"/>
      <c r="CM466" s="457"/>
      <c r="CN466" s="457"/>
      <c r="CO466" s="457"/>
      <c r="CP466" s="457"/>
      <c r="CQ466" s="457"/>
      <c r="CR466" s="457"/>
      <c r="CS466" s="457"/>
      <c r="CT466" s="457"/>
      <c r="CU466" s="457"/>
      <c r="CV466" s="457"/>
      <c r="CW466" s="457"/>
      <c r="CX466" s="457"/>
      <c r="CY466" s="457"/>
      <c r="CZ466" s="457"/>
      <c r="DA466" s="457"/>
      <c r="DB466" s="457"/>
      <c r="DC466" s="457"/>
      <c r="DD466" s="457"/>
      <c r="DE466" s="457"/>
      <c r="DF466" s="457"/>
      <c r="DG466" s="457"/>
      <c r="DH466" s="457"/>
      <c r="DI466" s="457"/>
      <c r="DJ466" s="457"/>
      <c r="DK466" s="457"/>
      <c r="DL466" s="457"/>
      <c r="DM466" s="457"/>
      <c r="DN466" s="457"/>
      <c r="DO466" s="457"/>
      <c r="DP466" s="457"/>
      <c r="DQ466" s="457"/>
      <c r="DR466" s="457"/>
      <c r="DS466" s="457"/>
      <c r="DT466" s="457"/>
      <c r="DU466" s="457"/>
      <c r="DV466" s="457"/>
      <c r="DW466" s="457"/>
      <c r="DX466" s="457"/>
      <c r="DY466" s="457"/>
      <c r="DZ466" s="457"/>
      <c r="EA466" s="457"/>
      <c r="EB466" s="457"/>
      <c r="EC466" s="457"/>
      <c r="ED466" s="457"/>
      <c r="EE466" s="457"/>
      <c r="EF466" s="457"/>
      <c r="EG466" s="457"/>
      <c r="EH466" s="457"/>
      <c r="EI466" s="457"/>
      <c r="EJ466" s="457"/>
      <c r="EK466" s="457"/>
      <c r="EL466" s="457"/>
      <c r="EM466" s="457"/>
      <c r="EN466" s="457"/>
      <c r="EO466" s="457"/>
      <c r="EP466" s="457"/>
      <c r="EQ466" s="457"/>
      <c r="ER466" s="457"/>
      <c r="ES466" s="457"/>
      <c r="ET466" s="457"/>
      <c r="EU466" s="457"/>
      <c r="EV466" s="457"/>
      <c r="EW466" s="457"/>
      <c r="EX466" s="457"/>
      <c r="EY466" s="457"/>
      <c r="EZ466" s="457"/>
      <c r="FA466" s="457"/>
      <c r="FB466" s="457"/>
      <c r="FC466" s="457"/>
      <c r="FD466" s="457"/>
      <c r="FE466" s="457"/>
      <c r="FF466" s="457"/>
      <c r="FG466" s="457"/>
      <c r="FH466" s="457"/>
      <c r="FI466" s="457"/>
      <c r="FJ466" s="457"/>
      <c r="FK466" s="457"/>
      <c r="FL466" s="457"/>
      <c r="FM466" s="457"/>
      <c r="FN466" s="457"/>
      <c r="FO466" s="457"/>
      <c r="FP466" s="457"/>
      <c r="FQ466" s="457"/>
      <c r="FR466" s="457"/>
      <c r="FS466" s="457"/>
      <c r="FT466" s="457"/>
      <c r="FU466" s="457"/>
      <c r="FV466" s="457"/>
      <c r="FW466" s="457"/>
      <c r="FX466" s="457"/>
      <c r="FY466" s="457"/>
      <c r="FZ466" s="457"/>
      <c r="GA466" s="457"/>
      <c r="GB466" s="457"/>
      <c r="GC466" s="457"/>
      <c r="GD466" s="457"/>
      <c r="GE466" s="457"/>
      <c r="GF466" s="457"/>
      <c r="GG466" s="457"/>
      <c r="GH466" s="457"/>
      <c r="GI466" s="457"/>
      <c r="GJ466" s="457"/>
      <c r="GK466" s="457"/>
      <c r="GL466" s="457"/>
      <c r="GM466" s="457"/>
      <c r="GN466" s="457"/>
      <c r="GO466" s="457"/>
      <c r="GP466" s="457"/>
      <c r="GQ466" s="457"/>
      <c r="GR466" s="457"/>
      <c r="GS466" s="457"/>
      <c r="GT466" s="457"/>
      <c r="GU466" s="457"/>
      <c r="GV466" s="457"/>
      <c r="GW466" s="457"/>
      <c r="GX466" s="457"/>
      <c r="GY466" s="457"/>
      <c r="GZ466" s="457"/>
      <c r="HA466" s="457"/>
      <c r="HB466" s="457"/>
      <c r="HC466" s="457"/>
      <c r="HD466" s="457"/>
      <c r="HE466" s="457"/>
      <c r="HF466" s="457"/>
      <c r="HG466" s="457"/>
      <c r="HH466" s="457"/>
      <c r="HI466" s="457"/>
      <c r="HJ466" s="457"/>
      <c r="HK466" s="457"/>
      <c r="HL466" s="457"/>
      <c r="HM466" s="457"/>
      <c r="HN466" s="457"/>
      <c r="HO466" s="457"/>
      <c r="HP466" s="457"/>
      <c r="HQ466" s="457"/>
      <c r="HR466" s="457"/>
      <c r="HS466" s="457"/>
      <c r="HT466" s="457"/>
      <c r="HU466" s="457"/>
      <c r="HV466" s="457"/>
      <c r="HW466" s="457"/>
      <c r="HX466" s="457"/>
      <c r="HY466" s="457"/>
      <c r="HZ466" s="457"/>
      <c r="IA466" s="457"/>
      <c r="IB466" s="457"/>
      <c r="IC466" s="457"/>
      <c r="ID466" s="457"/>
      <c r="IE466" s="457"/>
      <c r="IF466" s="457"/>
      <c r="IG466" s="457"/>
      <c r="IH466" s="457"/>
      <c r="II466" s="457"/>
      <c r="IJ466" s="457"/>
      <c r="IK466" s="457"/>
      <c r="IL466" s="457"/>
      <c r="IM466" s="457"/>
    </row>
    <row r="467" spans="1:247" s="12" customFormat="1" ht="125.25" customHeight="1">
      <c r="A467" s="444">
        <v>5</v>
      </c>
      <c r="B467" s="697" t="s">
        <v>2869</v>
      </c>
      <c r="C467" s="459"/>
      <c r="D467" s="698"/>
      <c r="E467" s="696"/>
      <c r="F467" s="696"/>
    </row>
    <row r="468" spans="1:247" s="12" customFormat="1" ht="118.9" customHeight="1">
      <c r="A468" s="444"/>
      <c r="B468" s="697" t="s">
        <v>2870</v>
      </c>
      <c r="C468" s="459" t="s">
        <v>76</v>
      </c>
      <c r="D468" s="296">
        <v>2</v>
      </c>
      <c r="E468" s="696"/>
      <c r="F468" s="434"/>
      <c r="G468" s="457"/>
      <c r="H468" s="457"/>
      <c r="I468" s="457"/>
      <c r="J468" s="457"/>
      <c r="K468" s="457"/>
      <c r="L468" s="457"/>
      <c r="M468" s="457"/>
      <c r="N468" s="457"/>
      <c r="O468" s="457"/>
      <c r="P468" s="457"/>
      <c r="Q468" s="457"/>
      <c r="R468" s="457"/>
      <c r="S468" s="457"/>
      <c r="T468" s="457"/>
      <c r="U468" s="457"/>
      <c r="V468" s="457"/>
      <c r="W468" s="457"/>
      <c r="X468" s="457"/>
      <c r="Y468" s="457"/>
      <c r="Z468" s="457"/>
      <c r="AA468" s="457"/>
      <c r="AB468" s="457"/>
      <c r="AC468" s="457"/>
      <c r="AD468" s="457"/>
      <c r="AE468" s="457"/>
      <c r="AF468" s="457"/>
      <c r="AG468" s="457"/>
      <c r="AH468" s="457"/>
      <c r="AI468" s="457"/>
      <c r="AJ468" s="457"/>
      <c r="AK468" s="457"/>
      <c r="AL468" s="457"/>
      <c r="AM468" s="457"/>
      <c r="AN468" s="457"/>
      <c r="AO468" s="457"/>
      <c r="AP468" s="457"/>
      <c r="AQ468" s="457"/>
      <c r="AR468" s="457"/>
      <c r="AS468" s="457"/>
      <c r="AT468" s="457"/>
      <c r="AU468" s="457"/>
      <c r="AV468" s="457"/>
      <c r="AW468" s="457"/>
      <c r="AX468" s="457"/>
      <c r="AY468" s="457"/>
      <c r="AZ468" s="457"/>
      <c r="BA468" s="457"/>
      <c r="BB468" s="457"/>
      <c r="BC468" s="457"/>
      <c r="BD468" s="457"/>
      <c r="BE468" s="457"/>
      <c r="BF468" s="457"/>
      <c r="BG468" s="457"/>
      <c r="BH468" s="457"/>
      <c r="BI468" s="457"/>
      <c r="BJ468" s="457"/>
      <c r="BK468" s="457"/>
      <c r="BL468" s="457"/>
      <c r="BM468" s="457"/>
      <c r="BN468" s="457"/>
      <c r="BO468" s="457"/>
      <c r="BP468" s="457"/>
      <c r="BQ468" s="457"/>
      <c r="BR468" s="457"/>
      <c r="BS468" s="457"/>
      <c r="BT468" s="457"/>
      <c r="BU468" s="457"/>
      <c r="BV468" s="457"/>
      <c r="BW468" s="457"/>
      <c r="BX468" s="457"/>
      <c r="BY468" s="457"/>
      <c r="BZ468" s="457"/>
      <c r="CA468" s="457"/>
      <c r="CB468" s="457"/>
      <c r="CC468" s="457"/>
      <c r="CD468" s="457"/>
      <c r="CE468" s="457"/>
      <c r="CF468" s="457"/>
      <c r="CG468" s="457"/>
      <c r="CH468" s="457"/>
      <c r="CI468" s="457"/>
      <c r="CJ468" s="457"/>
      <c r="CK468" s="457"/>
      <c r="CL468" s="457"/>
      <c r="CM468" s="457"/>
      <c r="CN468" s="457"/>
      <c r="CO468" s="457"/>
      <c r="CP468" s="457"/>
      <c r="CQ468" s="457"/>
      <c r="CR468" s="457"/>
      <c r="CS468" s="457"/>
      <c r="CT468" s="457"/>
      <c r="CU468" s="457"/>
      <c r="CV468" s="457"/>
      <c r="CW468" s="457"/>
      <c r="CX468" s="457"/>
      <c r="CY468" s="457"/>
      <c r="CZ468" s="457"/>
      <c r="DA468" s="457"/>
      <c r="DB468" s="457"/>
      <c r="DC468" s="457"/>
      <c r="DD468" s="457"/>
      <c r="DE468" s="457"/>
      <c r="DF468" s="457"/>
      <c r="DG468" s="457"/>
      <c r="DH468" s="457"/>
      <c r="DI468" s="457"/>
      <c r="DJ468" s="457"/>
      <c r="DK468" s="457"/>
      <c r="DL468" s="457"/>
      <c r="DM468" s="457"/>
      <c r="DN468" s="457"/>
      <c r="DO468" s="457"/>
      <c r="DP468" s="457"/>
      <c r="DQ468" s="457"/>
      <c r="DR468" s="457"/>
      <c r="DS468" s="457"/>
      <c r="DT468" s="457"/>
      <c r="DU468" s="457"/>
      <c r="DV468" s="457"/>
      <c r="DW468" s="457"/>
      <c r="DX468" s="457"/>
      <c r="DY468" s="457"/>
      <c r="DZ468" s="457"/>
      <c r="EA468" s="457"/>
      <c r="EB468" s="457"/>
      <c r="EC468" s="457"/>
      <c r="ED468" s="457"/>
      <c r="EE468" s="457"/>
      <c r="EF468" s="457"/>
      <c r="EG468" s="457"/>
      <c r="EH468" s="457"/>
      <c r="EI468" s="457"/>
      <c r="EJ468" s="457"/>
      <c r="EK468" s="457"/>
      <c r="EL468" s="457"/>
      <c r="EM468" s="457"/>
      <c r="EN468" s="457"/>
      <c r="EO468" s="457"/>
      <c r="EP468" s="457"/>
      <c r="EQ468" s="457"/>
      <c r="ER468" s="457"/>
      <c r="ES468" s="457"/>
      <c r="ET468" s="457"/>
      <c r="EU468" s="457"/>
      <c r="EV468" s="457"/>
      <c r="EW468" s="457"/>
      <c r="EX468" s="457"/>
      <c r="EY468" s="457"/>
      <c r="EZ468" s="457"/>
      <c r="FA468" s="457"/>
      <c r="FB468" s="457"/>
      <c r="FC468" s="457"/>
      <c r="FD468" s="457"/>
      <c r="FE468" s="457"/>
      <c r="FF468" s="457"/>
      <c r="FG468" s="457"/>
      <c r="FH468" s="457"/>
      <c r="FI468" s="457"/>
      <c r="FJ468" s="457"/>
      <c r="FK468" s="457"/>
      <c r="FL468" s="457"/>
      <c r="FM468" s="457"/>
      <c r="FN468" s="457"/>
      <c r="FO468" s="457"/>
      <c r="FP468" s="457"/>
      <c r="FQ468" s="457"/>
      <c r="FR468" s="457"/>
      <c r="FS468" s="457"/>
      <c r="FT468" s="457"/>
      <c r="FU468" s="457"/>
      <c r="FV468" s="457"/>
      <c r="FW468" s="457"/>
      <c r="FX468" s="457"/>
      <c r="FY468" s="457"/>
      <c r="FZ468" s="457"/>
      <c r="GA468" s="457"/>
      <c r="GB468" s="457"/>
      <c r="GC468" s="457"/>
      <c r="GD468" s="457"/>
      <c r="GE468" s="457"/>
      <c r="GF468" s="457"/>
      <c r="GG468" s="457"/>
      <c r="GH468" s="457"/>
      <c r="GI468" s="457"/>
      <c r="GJ468" s="457"/>
      <c r="GK468" s="457"/>
      <c r="GL468" s="457"/>
      <c r="GM468" s="457"/>
      <c r="GN468" s="457"/>
      <c r="GO468" s="457"/>
      <c r="GP468" s="457"/>
      <c r="GQ468" s="457"/>
      <c r="GR468" s="457"/>
      <c r="GS468" s="457"/>
      <c r="GT468" s="457"/>
      <c r="GU468" s="457"/>
      <c r="GV468" s="457"/>
      <c r="GW468" s="457"/>
      <c r="GX468" s="457"/>
      <c r="GY468" s="457"/>
      <c r="GZ468" s="457"/>
      <c r="HA468" s="457"/>
      <c r="HB468" s="457"/>
      <c r="HC468" s="457"/>
      <c r="HD468" s="457"/>
      <c r="HE468" s="457"/>
      <c r="HF468" s="457"/>
      <c r="HG468" s="457"/>
      <c r="HH468" s="457"/>
      <c r="HI468" s="457"/>
      <c r="HJ468" s="457"/>
      <c r="HK468" s="457"/>
      <c r="HL468" s="457"/>
      <c r="HM468" s="457"/>
      <c r="HN468" s="457"/>
      <c r="HO468" s="457"/>
      <c r="HP468" s="457"/>
      <c r="HQ468" s="457"/>
      <c r="HR468" s="457"/>
      <c r="HS468" s="457"/>
      <c r="HT468" s="457"/>
      <c r="HU468" s="457"/>
      <c r="HV468" s="457"/>
      <c r="HW468" s="457"/>
      <c r="HX468" s="457"/>
      <c r="HY468" s="457"/>
      <c r="HZ468" s="457"/>
      <c r="IA468" s="457"/>
      <c r="IB468" s="457"/>
      <c r="IC468" s="457"/>
      <c r="ID468" s="457"/>
      <c r="IE468" s="457"/>
      <c r="IF468" s="457"/>
      <c r="IG468" s="457"/>
      <c r="IH468" s="457"/>
      <c r="II468" s="457"/>
      <c r="IJ468" s="457"/>
      <c r="IK468" s="457"/>
      <c r="IL468" s="457"/>
      <c r="IM468" s="457"/>
    </row>
    <row r="469" spans="1:247" s="12" customFormat="1">
      <c r="A469" s="444"/>
      <c r="B469" s="697"/>
      <c r="C469" s="459"/>
      <c r="D469" s="296"/>
      <c r="E469" s="696"/>
      <c r="F469" s="696"/>
    </row>
    <row r="470" spans="1:247" s="12" customFormat="1" ht="30">
      <c r="A470" s="444">
        <v>6</v>
      </c>
      <c r="B470" s="463" t="s">
        <v>2896</v>
      </c>
      <c r="C470" s="459"/>
      <c r="D470" s="445"/>
      <c r="E470" s="430"/>
    </row>
    <row r="471" spans="1:247" s="12" customFormat="1" ht="34.5" customHeight="1">
      <c r="A471" s="444"/>
      <c r="B471" s="463" t="s">
        <v>2871</v>
      </c>
      <c r="C471" s="459"/>
      <c r="D471" s="445"/>
      <c r="E471" s="430"/>
    </row>
    <row r="472" spans="1:247" s="12" customFormat="1" ht="231" customHeight="1">
      <c r="A472" s="444"/>
      <c r="B472" s="463" t="s">
        <v>2872</v>
      </c>
      <c r="C472" s="459"/>
      <c r="D472" s="445"/>
      <c r="E472" s="430"/>
    </row>
    <row r="473" spans="1:247" s="12" customFormat="1" ht="30">
      <c r="A473" s="444"/>
      <c r="B473" s="463" t="s">
        <v>2873</v>
      </c>
    </row>
    <row r="474" spans="1:247" s="12" customFormat="1">
      <c r="A474" s="444"/>
      <c r="B474" s="463" t="s">
        <v>2874</v>
      </c>
      <c r="C474" s="459"/>
      <c r="D474" s="296"/>
      <c r="E474" s="434"/>
      <c r="F474" s="434"/>
    </row>
    <row r="475" spans="1:247" s="12" customFormat="1" ht="18" customHeight="1">
      <c r="A475" s="444"/>
      <c r="B475" s="463" t="s">
        <v>2875</v>
      </c>
    </row>
    <row r="476" spans="1:247" s="12" customFormat="1" ht="58.9" customHeight="1">
      <c r="A476" s="444"/>
      <c r="B476" s="463" t="s">
        <v>2868</v>
      </c>
      <c r="C476" s="459" t="s">
        <v>76</v>
      </c>
      <c r="D476" s="296">
        <v>1</v>
      </c>
      <c r="E476" s="434"/>
      <c r="F476" s="434"/>
    </row>
    <row r="477" spans="1:247" s="12" customFormat="1">
      <c r="A477" s="444"/>
      <c r="B477" s="463"/>
      <c r="C477" s="459"/>
      <c r="D477" s="296"/>
      <c r="E477" s="434"/>
      <c r="F477" s="434"/>
    </row>
    <row r="478" spans="1:247" s="12" customFormat="1" ht="30">
      <c r="A478" s="444">
        <v>7</v>
      </c>
      <c r="B478" s="452" t="s">
        <v>3419</v>
      </c>
      <c r="C478" s="459"/>
      <c r="D478" s="445"/>
      <c r="E478" s="699"/>
      <c r="F478" s="296"/>
    </row>
    <row r="479" spans="1:247" s="12" customFormat="1" ht="45">
      <c r="A479" s="444"/>
      <c r="B479" s="464" t="s">
        <v>2876</v>
      </c>
      <c r="C479" s="459"/>
      <c r="D479" s="445"/>
      <c r="E479" s="699"/>
      <c r="F479" s="296"/>
    </row>
    <row r="480" spans="1:247" s="12" customFormat="1" ht="176.45" customHeight="1">
      <c r="A480" s="444"/>
      <c r="B480" s="463" t="s">
        <v>2877</v>
      </c>
      <c r="C480" s="459"/>
      <c r="D480" s="445"/>
      <c r="E480" s="699"/>
      <c r="F480" s="296"/>
    </row>
    <row r="481" spans="1:6" s="12" customFormat="1" ht="30">
      <c r="A481" s="444"/>
      <c r="B481" s="700" t="s">
        <v>2878</v>
      </c>
      <c r="C481" s="459" t="s">
        <v>76</v>
      </c>
      <c r="D481" s="296">
        <v>7</v>
      </c>
      <c r="E481" s="506"/>
      <c r="F481" s="528"/>
    </row>
    <row r="482" spans="1:6" s="12" customFormat="1">
      <c r="A482" s="444"/>
      <c r="B482" s="697"/>
      <c r="C482" s="459"/>
      <c r="D482" s="698"/>
      <c r="E482" s="297"/>
    </row>
    <row r="483" spans="1:6" s="12" customFormat="1">
      <c r="A483" s="444">
        <v>8</v>
      </c>
      <c r="B483" s="697" t="s">
        <v>2879</v>
      </c>
      <c r="C483" s="459"/>
      <c r="D483" s="698"/>
      <c r="E483" s="297"/>
    </row>
    <row r="484" spans="1:6" s="12" customFormat="1">
      <c r="A484" s="444"/>
      <c r="B484" s="697"/>
      <c r="C484" s="459"/>
      <c r="D484" s="698"/>
      <c r="E484" s="297"/>
    </row>
    <row r="485" spans="1:6" s="12" customFormat="1" ht="36" customHeight="1">
      <c r="A485" s="444"/>
      <c r="B485" s="697" t="s">
        <v>3420</v>
      </c>
      <c r="C485" s="459" t="s">
        <v>18</v>
      </c>
      <c r="D485" s="296">
        <v>15</v>
      </c>
      <c r="E485" s="434"/>
      <c r="F485" s="434"/>
    </row>
    <row r="486" spans="1:6" s="12" customFormat="1">
      <c r="A486" s="444"/>
      <c r="B486" s="697"/>
      <c r="C486" s="459"/>
      <c r="D486" s="698"/>
      <c r="E486" s="297"/>
    </row>
    <row r="487" spans="1:6" s="12" customFormat="1" ht="36" customHeight="1">
      <c r="A487" s="444"/>
      <c r="B487" s="697" t="s">
        <v>3421</v>
      </c>
      <c r="C487" s="459" t="s">
        <v>18</v>
      </c>
      <c r="D487" s="296">
        <v>12</v>
      </c>
      <c r="E487" s="434"/>
      <c r="F487" s="434"/>
    </row>
    <row r="488" spans="1:6" s="12" customFormat="1">
      <c r="A488" s="444"/>
      <c r="B488" s="697"/>
      <c r="C488" s="459"/>
      <c r="D488" s="698"/>
      <c r="E488" s="297"/>
    </row>
    <row r="489" spans="1:6" s="12" customFormat="1" ht="90">
      <c r="A489" s="444"/>
      <c r="B489" s="697" t="s">
        <v>3422</v>
      </c>
      <c r="C489" s="459" t="s">
        <v>18</v>
      </c>
      <c r="D489" s="296">
        <v>12</v>
      </c>
      <c r="E489" s="434"/>
      <c r="F489" s="434"/>
    </row>
    <row r="490" spans="1:6" s="12" customFormat="1">
      <c r="A490" s="444"/>
      <c r="B490" s="697"/>
      <c r="C490" s="459"/>
      <c r="D490" s="698"/>
      <c r="E490" s="297"/>
    </row>
    <row r="491" spans="1:6" s="12" customFormat="1" ht="75">
      <c r="A491" s="444"/>
      <c r="B491" s="697" t="s">
        <v>3423</v>
      </c>
      <c r="C491" s="459" t="s">
        <v>18</v>
      </c>
      <c r="D491" s="296">
        <v>12</v>
      </c>
      <c r="E491" s="434"/>
      <c r="F491" s="434"/>
    </row>
    <row r="492" spans="1:6" s="12" customFormat="1">
      <c r="A492" s="444"/>
      <c r="B492" s="697"/>
      <c r="C492" s="459"/>
      <c r="D492" s="698"/>
      <c r="E492" s="297"/>
    </row>
    <row r="493" spans="1:6" s="12" customFormat="1" ht="45">
      <c r="A493" s="444"/>
      <c r="B493" s="697" t="s">
        <v>3424</v>
      </c>
      <c r="C493" s="459" t="s">
        <v>18</v>
      </c>
      <c r="D493" s="296">
        <v>2</v>
      </c>
      <c r="E493" s="434"/>
      <c r="F493" s="434"/>
    </row>
    <row r="494" spans="1:6" s="12" customFormat="1">
      <c r="A494" s="444"/>
      <c r="B494" s="697"/>
      <c r="C494" s="459"/>
      <c r="D494" s="698"/>
      <c r="E494" s="297"/>
    </row>
    <row r="495" spans="1:6" s="12" customFormat="1" ht="30">
      <c r="A495" s="444"/>
      <c r="B495" s="697" t="s">
        <v>3425</v>
      </c>
      <c r="C495" s="459" t="s">
        <v>18</v>
      </c>
      <c r="D495" s="296">
        <v>12</v>
      </c>
      <c r="E495" s="434"/>
      <c r="F495" s="434"/>
    </row>
    <row r="496" spans="1:6" s="12" customFormat="1">
      <c r="A496" s="444"/>
      <c r="B496" s="697"/>
      <c r="C496" s="459"/>
      <c r="D496" s="698"/>
      <c r="E496" s="297"/>
    </row>
    <row r="497" spans="1:6" s="12" customFormat="1" ht="45">
      <c r="A497" s="444"/>
      <c r="B497" s="697" t="s">
        <v>3426</v>
      </c>
      <c r="C497" s="459" t="s">
        <v>18</v>
      </c>
      <c r="D497" s="296">
        <v>24</v>
      </c>
      <c r="E497" s="434"/>
      <c r="F497" s="434"/>
    </row>
    <row r="498" spans="1:6" s="12" customFormat="1">
      <c r="A498" s="465"/>
      <c r="B498" s="233"/>
      <c r="C498" s="296"/>
      <c r="D498" s="296"/>
      <c r="E498" s="434"/>
      <c r="F498" s="434"/>
    </row>
    <row r="499" spans="1:6" s="12" customFormat="1">
      <c r="A499" s="499" t="s">
        <v>2880</v>
      </c>
      <c r="B499" s="433" t="s">
        <v>278</v>
      </c>
      <c r="C499" s="436"/>
      <c r="D499" s="436" t="s">
        <v>34</v>
      </c>
      <c r="E499" s="437"/>
      <c r="F499" s="434"/>
    </row>
    <row r="500" spans="1:6" s="12" customFormat="1">
      <c r="A500" s="465"/>
      <c r="B500" s="233"/>
      <c r="C500" s="296"/>
      <c r="D500" s="296"/>
      <c r="E500" s="434"/>
      <c r="F500" s="434"/>
    </row>
    <row r="501" spans="1:6" s="567" customFormat="1">
      <c r="A501" s="568" t="s">
        <v>2892</v>
      </c>
      <c r="B501" s="568" t="s">
        <v>676</v>
      </c>
      <c r="C501" s="436"/>
      <c r="D501" s="436"/>
      <c r="E501" s="436"/>
      <c r="F501" s="426"/>
    </row>
    <row r="502" spans="1:6" s="12" customFormat="1">
      <c r="B502" s="424"/>
      <c r="C502" s="296"/>
      <c r="D502" s="296"/>
      <c r="E502" s="296"/>
      <c r="F502" s="426"/>
    </row>
    <row r="503" spans="1:6" s="12" customFormat="1" ht="90">
      <c r="A503" s="465">
        <v>1</v>
      </c>
      <c r="B503" s="21" t="s">
        <v>2881</v>
      </c>
      <c r="D503" s="344" t="s">
        <v>34</v>
      </c>
      <c r="E503" s="427"/>
      <c r="F503" s="297"/>
    </row>
    <row r="504" spans="1:6" s="12" customFormat="1">
      <c r="A504" s="465"/>
      <c r="B504" s="511"/>
      <c r="C504" s="344" t="s">
        <v>76</v>
      </c>
      <c r="D504" s="344">
        <v>1</v>
      </c>
      <c r="E504" s="434"/>
      <c r="F504" s="434"/>
    </row>
    <row r="505" spans="1:6" s="12" customFormat="1">
      <c r="A505" s="465"/>
      <c r="B505" s="446"/>
      <c r="C505" s="344"/>
      <c r="D505" s="344" t="s">
        <v>34</v>
      </c>
      <c r="E505" s="518"/>
      <c r="F505" s="345"/>
    </row>
    <row r="506" spans="1:6" s="12" customFormat="1" ht="75">
      <c r="A506" s="465">
        <v>2</v>
      </c>
      <c r="B506" s="466" t="s">
        <v>2882</v>
      </c>
      <c r="D506" s="344" t="s">
        <v>34</v>
      </c>
      <c r="E506" s="518"/>
      <c r="F506" s="345"/>
    </row>
    <row r="507" spans="1:6" s="12" customFormat="1">
      <c r="A507" s="465"/>
      <c r="B507" s="446"/>
      <c r="C507" s="344" t="s">
        <v>76</v>
      </c>
      <c r="D507" s="344">
        <v>1</v>
      </c>
      <c r="E507" s="434"/>
      <c r="F507" s="434"/>
    </row>
    <row r="508" spans="1:6" s="12" customFormat="1">
      <c r="A508" s="465"/>
      <c r="B508" s="446"/>
      <c r="C508" s="344"/>
      <c r="D508" s="344" t="s">
        <v>34</v>
      </c>
      <c r="E508" s="518"/>
      <c r="F508" s="345"/>
    </row>
    <row r="509" spans="1:6" s="12" customFormat="1" ht="60">
      <c r="A509" s="465">
        <v>3</v>
      </c>
      <c r="B509" s="466" t="s">
        <v>2883</v>
      </c>
      <c r="D509" s="344" t="s">
        <v>34</v>
      </c>
      <c r="E509" s="518"/>
      <c r="F509" s="345"/>
    </row>
    <row r="510" spans="1:6" s="12" customFormat="1">
      <c r="A510" s="465"/>
      <c r="B510" s="701"/>
      <c r="C510" s="344" t="s">
        <v>76</v>
      </c>
      <c r="D510" s="344">
        <v>1</v>
      </c>
      <c r="E510" s="434"/>
      <c r="F510" s="434"/>
    </row>
    <row r="511" spans="1:6" s="12" customFormat="1">
      <c r="A511" s="465"/>
      <c r="B511" s="439"/>
      <c r="C511" s="439"/>
      <c r="D511" s="439"/>
      <c r="E511" s="467"/>
      <c r="F511" s="345"/>
    </row>
    <row r="512" spans="1:6" s="12" customFormat="1" ht="45">
      <c r="A512" s="465">
        <v>4</v>
      </c>
      <c r="B512" s="466" t="s">
        <v>2884</v>
      </c>
      <c r="D512" s="344" t="s">
        <v>34</v>
      </c>
      <c r="E512" s="518"/>
      <c r="F512" s="345"/>
    </row>
    <row r="513" spans="1:6" s="12" customFormat="1">
      <c r="A513" s="465"/>
      <c r="B513" s="701"/>
      <c r="C513" s="344" t="s">
        <v>76</v>
      </c>
      <c r="D513" s="344">
        <v>1</v>
      </c>
      <c r="E513" s="434"/>
      <c r="F513" s="434"/>
    </row>
    <row r="514" spans="1:6" s="12" customFormat="1">
      <c r="A514" s="465"/>
      <c r="B514" s="439"/>
      <c r="C514" s="439"/>
      <c r="D514" s="439"/>
      <c r="E514" s="467"/>
      <c r="F514" s="345"/>
    </row>
    <row r="515" spans="1:6" s="12" customFormat="1">
      <c r="A515" s="425" t="s">
        <v>2892</v>
      </c>
      <c r="B515" s="702" t="s">
        <v>278</v>
      </c>
      <c r="C515" s="315"/>
      <c r="D515" s="315" t="s">
        <v>34</v>
      </c>
      <c r="E515" s="677"/>
      <c r="F515" s="434"/>
    </row>
    <row r="516" spans="1:6" s="12" customFormat="1">
      <c r="A516" s="299"/>
      <c r="B516" s="467"/>
      <c r="C516" s="344"/>
      <c r="D516" s="344"/>
      <c r="E516" s="439"/>
      <c r="F516" s="434"/>
    </row>
    <row r="517" spans="1:6" s="12" customFormat="1" ht="30">
      <c r="B517" s="568" t="s">
        <v>2897</v>
      </c>
      <c r="C517" s="296"/>
      <c r="D517" s="296"/>
      <c r="E517" s="296"/>
      <c r="F517" s="426"/>
    </row>
    <row r="518" spans="1:6" s="12" customFormat="1">
      <c r="B518" s="568"/>
      <c r="C518" s="296"/>
      <c r="D518" s="296"/>
      <c r="E518" s="296"/>
      <c r="F518" s="426"/>
    </row>
    <row r="519" spans="1:6" s="12" customFormat="1">
      <c r="A519" s="703" t="str">
        <f>A18</f>
        <v>A</v>
      </c>
      <c r="B519" s="704" t="str">
        <f>B18</f>
        <v>DEMONTAŽNI RADOVI</v>
      </c>
      <c r="C519" s="344"/>
      <c r="D519" s="468"/>
      <c r="E519" s="344"/>
      <c r="F519" s="705"/>
    </row>
    <row r="520" spans="1:6" s="12" customFormat="1">
      <c r="A520" s="703"/>
      <c r="B520" s="704"/>
      <c r="C520" s="344"/>
      <c r="D520" s="468"/>
      <c r="E520" s="344"/>
      <c r="F520" s="705"/>
    </row>
    <row r="521" spans="1:6" s="12" customFormat="1">
      <c r="A521" s="703" t="str">
        <f>A54</f>
        <v>B</v>
      </c>
      <c r="B521" s="704" t="str">
        <f>B54</f>
        <v>VANJSKI VODOVOD I KANALIZACIJA</v>
      </c>
      <c r="C521" s="344"/>
      <c r="D521" s="468"/>
      <c r="E521" s="344"/>
      <c r="F521" s="705"/>
    </row>
    <row r="522" spans="1:6" s="12" customFormat="1">
      <c r="A522" s="703" t="str">
        <f>A56</f>
        <v>B1</v>
      </c>
      <c r="B522" s="706" t="str">
        <f>B56</f>
        <v>ZEMLJANI RADOVI - VODOVOD</v>
      </c>
      <c r="C522" s="344"/>
      <c r="D522" s="468"/>
      <c r="E522" s="344"/>
      <c r="F522" s="705"/>
    </row>
    <row r="523" spans="1:6" s="12" customFormat="1">
      <c r="A523" s="617" t="str">
        <f>A83</f>
        <v>B2</v>
      </c>
      <c r="B523" s="706" t="str">
        <f>B83</f>
        <v>ZEMLJANI RADOVI - KANALIZACIJA</v>
      </c>
      <c r="C523" s="344"/>
      <c r="D523" s="468"/>
      <c r="E523" s="344"/>
      <c r="F523" s="705"/>
    </row>
    <row r="524" spans="1:6" s="12" customFormat="1">
      <c r="A524" s="617" t="str">
        <f>A110</f>
        <v>B3</v>
      </c>
      <c r="B524" s="706" t="str">
        <f>B110</f>
        <v>BETONSKI RADOVI - VODOVOD</v>
      </c>
      <c r="C524" s="344"/>
      <c r="D524" s="468"/>
      <c r="E524" s="344"/>
      <c r="F524" s="705"/>
    </row>
    <row r="525" spans="1:6" s="12" customFormat="1">
      <c r="A525" s="706" t="str">
        <f>A122</f>
        <v>B4</v>
      </c>
      <c r="B525" s="706" t="str">
        <f>B122</f>
        <v>BETONSKI RADOVI - KANALIZACIJA</v>
      </c>
      <c r="C525" s="344"/>
      <c r="D525" s="468"/>
      <c r="E525" s="344"/>
      <c r="F525" s="705"/>
    </row>
    <row r="526" spans="1:6" s="12" customFormat="1">
      <c r="A526" s="706" t="str">
        <f>A138</f>
        <v>B5</v>
      </c>
      <c r="B526" s="706" t="str">
        <f>B138</f>
        <v xml:space="preserve"> VODOVODNI RADOVI </v>
      </c>
      <c r="C526" s="344"/>
      <c r="D526" s="468"/>
      <c r="E526" s="344"/>
      <c r="F526" s="705"/>
    </row>
    <row r="527" spans="1:6" s="12" customFormat="1">
      <c r="A527" s="706" t="str">
        <f>A190</f>
        <v>B6</v>
      </c>
      <c r="B527" s="706" t="str">
        <f>B190</f>
        <v>KANALIZACIJSKI RADOVI - MONTAŽNI</v>
      </c>
      <c r="C527" s="344"/>
      <c r="D527" s="468"/>
      <c r="E527" s="344"/>
      <c r="F527" s="705"/>
    </row>
    <row r="528" spans="1:6" s="12" customFormat="1">
      <c r="A528" s="706" t="str">
        <f>A223</f>
        <v>B7</v>
      </c>
      <c r="B528" s="706" t="str">
        <f>B223</f>
        <v>OSTALI TROŠKOVI</v>
      </c>
      <c r="C528" s="344"/>
      <c r="D528" s="468"/>
      <c r="E528" s="344"/>
      <c r="F528" s="705"/>
    </row>
    <row r="529" spans="1:6" s="12" customFormat="1">
      <c r="A529" s="706"/>
      <c r="B529" s="706"/>
      <c r="C529" s="344"/>
      <c r="D529" s="468"/>
      <c r="E529" s="344"/>
      <c r="F529" s="705"/>
    </row>
    <row r="530" spans="1:6" s="12" customFormat="1">
      <c r="A530" s="610" t="str">
        <f>A231</f>
        <v>C</v>
      </c>
      <c r="B530" s="704" t="str">
        <f>B231</f>
        <v xml:space="preserve">UNUTARNJA KANALIZACIJA </v>
      </c>
      <c r="C530" s="344"/>
      <c r="D530" s="468"/>
      <c r="E530" s="344"/>
      <c r="F530" s="705"/>
    </row>
    <row r="531" spans="1:6" s="12" customFormat="1">
      <c r="A531" s="468" t="str">
        <f>A233</f>
        <v>C1</v>
      </c>
      <c r="B531" s="618" t="str">
        <f>B233</f>
        <v>BETONSKI RADOVI -  KANALIZACIJA</v>
      </c>
      <c r="C531" s="344"/>
      <c r="D531" s="468"/>
      <c r="E531" s="344"/>
      <c r="F531" s="705"/>
    </row>
    <row r="532" spans="1:6" s="12" customFormat="1">
      <c r="A532" s="468" t="str">
        <f>A244</f>
        <v>C2</v>
      </c>
      <c r="B532" s="618" t="str">
        <f>B244</f>
        <v xml:space="preserve"> KANALIZACIJSKI RADOVI</v>
      </c>
      <c r="C532" s="344"/>
      <c r="D532" s="468"/>
      <c r="E532" s="344"/>
      <c r="F532" s="705"/>
    </row>
    <row r="533" spans="1:6" s="12" customFormat="1">
      <c r="A533" s="468" t="str">
        <f>A312</f>
        <v>C3</v>
      </c>
      <c r="B533" s="618" t="str">
        <f>B312</f>
        <v>OSTALI TROŠKOVI</v>
      </c>
      <c r="C533" s="344"/>
      <c r="D533" s="468"/>
      <c r="E533" s="344"/>
      <c r="F533" s="705"/>
    </row>
    <row r="534" spans="1:6" s="12" customFormat="1">
      <c r="A534" s="468"/>
      <c r="B534" s="618"/>
      <c r="C534" s="344"/>
      <c r="D534" s="468"/>
      <c r="E534" s="344"/>
      <c r="F534" s="705"/>
    </row>
    <row r="535" spans="1:6" s="12" customFormat="1">
      <c r="A535" s="610" t="str">
        <f>A320</f>
        <v>D</v>
      </c>
      <c r="B535" s="704" t="str">
        <f>B320</f>
        <v>UNUTARNJI VODOVOD</v>
      </c>
      <c r="C535" s="344"/>
      <c r="D535" s="468"/>
      <c r="E535" s="344"/>
      <c r="F535" s="705"/>
    </row>
    <row r="536" spans="1:6" s="12" customFormat="1">
      <c r="A536" s="468" t="str">
        <f>A322</f>
        <v>D1</v>
      </c>
      <c r="B536" s="618" t="str">
        <f>B322</f>
        <v>BETONSKI RADOVI -  VODOVOD</v>
      </c>
      <c r="C536" s="344"/>
      <c r="D536" s="468"/>
      <c r="E536" s="344"/>
      <c r="F536" s="705"/>
    </row>
    <row r="537" spans="1:6" s="12" customFormat="1">
      <c r="A537" s="468" t="str">
        <f>A331</f>
        <v>D2</v>
      </c>
      <c r="B537" s="618" t="str">
        <f>B331</f>
        <v>VODOVODNI RADOVI</v>
      </c>
      <c r="C537" s="344"/>
      <c r="D537" s="468"/>
      <c r="E537" s="344"/>
      <c r="F537" s="705"/>
    </row>
    <row r="538" spans="1:6" s="12" customFormat="1">
      <c r="A538" s="468" t="str">
        <f>A426</f>
        <v>D3</v>
      </c>
      <c r="B538" s="618" t="str">
        <f>B426</f>
        <v>OSTALI TROŠKOVI</v>
      </c>
      <c r="C538" s="344"/>
      <c r="D538" s="468"/>
      <c r="E538" s="344"/>
      <c r="F538" s="705"/>
    </row>
    <row r="539" spans="1:6" s="12" customFormat="1">
      <c r="A539" s="468"/>
      <c r="B539" s="618"/>
      <c r="C539" s="344"/>
      <c r="D539" s="468"/>
      <c r="E539" s="344"/>
      <c r="F539" s="705"/>
    </row>
    <row r="540" spans="1:6" s="12" customFormat="1">
      <c r="A540" s="610" t="str">
        <f>A434</f>
        <v>E</v>
      </c>
      <c r="B540" s="704" t="str">
        <f>B434</f>
        <v>SANITARIJE</v>
      </c>
      <c r="C540" s="344"/>
      <c r="D540" s="468"/>
      <c r="E540" s="344"/>
      <c r="F540" s="705"/>
    </row>
    <row r="541" spans="1:6" s="12" customFormat="1">
      <c r="A541" s="610"/>
      <c r="B541" s="704"/>
      <c r="C541" s="344"/>
      <c r="D541" s="468"/>
      <c r="E541" s="344"/>
      <c r="F541" s="705"/>
    </row>
    <row r="542" spans="1:6" s="12" customFormat="1">
      <c r="A542" s="468" t="str">
        <f>A501</f>
        <v>F</v>
      </c>
      <c r="B542" s="704" t="str">
        <f>B501</f>
        <v>OSTALI RADOVI</v>
      </c>
      <c r="C542" s="344"/>
      <c r="D542" s="344"/>
      <c r="E542" s="344"/>
      <c r="F542" s="705"/>
    </row>
    <row r="543" spans="1:6">
      <c r="A543" s="431"/>
      <c r="B543" s="431"/>
      <c r="C543" s="431"/>
      <c r="D543" s="431"/>
      <c r="E543" s="431"/>
      <c r="F543" s="431"/>
    </row>
    <row r="544" spans="1:6">
      <c r="A544" s="431"/>
      <c r="B544" s="431"/>
      <c r="C544" s="431"/>
      <c r="D544" s="431"/>
      <c r="E544" s="431"/>
      <c r="F544" s="431"/>
    </row>
    <row r="545" spans="1:6" s="469" customFormat="1" ht="14.25" customHeight="1">
      <c r="A545" s="473"/>
      <c r="B545" s="477"/>
      <c r="C545" s="470"/>
      <c r="D545" s="471"/>
      <c r="E545" s="472"/>
      <c r="F545" s="472"/>
    </row>
    <row r="546" spans="1:6" s="469" customFormat="1">
      <c r="A546" s="473"/>
      <c r="B546" s="477"/>
      <c r="C546" s="470"/>
      <c r="D546" s="471"/>
      <c r="E546" s="472"/>
      <c r="F546" s="472"/>
    </row>
    <row r="547" spans="1:6" s="469" customFormat="1" ht="14.25" customHeight="1">
      <c r="A547" s="420" t="s">
        <v>801</v>
      </c>
      <c r="B547" s="481" t="s">
        <v>3371</v>
      </c>
      <c r="C547" s="482"/>
      <c r="D547" s="482"/>
      <c r="E547" s="483"/>
      <c r="F547" s="487"/>
    </row>
    <row r="548" spans="1:6" s="469" customFormat="1">
      <c r="A548" s="479"/>
      <c r="B548" s="478"/>
      <c r="C548" s="474"/>
      <c r="D548" s="475"/>
      <c r="E548" s="484"/>
      <c r="F548" s="484"/>
    </row>
    <row r="549" spans="1:6" s="469" customFormat="1">
      <c r="A549" s="479"/>
      <c r="B549" s="478"/>
      <c r="C549" s="474"/>
      <c r="D549" s="475"/>
      <c r="E549" s="476"/>
      <c r="F549" s="476"/>
    </row>
    <row r="550" spans="1:6" s="469" customFormat="1">
      <c r="A550" s="731"/>
      <c r="B550" s="731"/>
      <c r="C550" s="474"/>
      <c r="D550" s="475"/>
      <c r="E550" s="476"/>
      <c r="F550" s="476"/>
    </row>
    <row r="551" spans="1:6" s="469" customFormat="1">
      <c r="A551" s="479"/>
      <c r="B551" s="478"/>
      <c r="C551" s="474"/>
      <c r="D551" s="475"/>
      <c r="E551" s="476"/>
      <c r="F551" s="476"/>
    </row>
    <row r="552" spans="1:6" s="469" customFormat="1">
      <c r="A552" s="479"/>
      <c r="B552" s="478"/>
      <c r="C552" s="474"/>
      <c r="D552" s="475"/>
      <c r="E552" s="476"/>
      <c r="F552" s="476"/>
    </row>
    <row r="553" spans="1:6" s="469" customFormat="1">
      <c r="A553" s="479"/>
      <c r="B553" s="478"/>
      <c r="C553" s="474"/>
      <c r="D553" s="475"/>
      <c r="E553" s="476"/>
      <c r="F553" s="476"/>
    </row>
    <row r="554" spans="1:6" s="469" customFormat="1">
      <c r="A554" s="479"/>
      <c r="B554" s="478"/>
      <c r="C554" s="474"/>
      <c r="D554" s="475"/>
      <c r="E554" s="476"/>
      <c r="F554" s="476"/>
    </row>
    <row r="555" spans="1:6" s="469" customFormat="1">
      <c r="A555" s="479"/>
      <c r="B555" s="478"/>
      <c r="C555" s="474"/>
      <c r="D555" s="475"/>
      <c r="E555" s="476"/>
      <c r="F555" s="476"/>
    </row>
    <row r="556" spans="1:6" s="469" customFormat="1">
      <c r="A556" s="479"/>
      <c r="B556" s="478"/>
      <c r="C556" s="474"/>
      <c r="D556" s="475"/>
      <c r="E556" s="476"/>
      <c r="F556" s="476"/>
    </row>
    <row r="557" spans="1:6" s="469" customFormat="1">
      <c r="A557" s="479"/>
      <c r="B557" s="478"/>
      <c r="C557" s="474"/>
      <c r="D557" s="475"/>
      <c r="E557" s="476"/>
      <c r="F557" s="476"/>
    </row>
    <row r="558" spans="1:6" s="469" customFormat="1">
      <c r="A558" s="473"/>
      <c r="B558" s="477"/>
      <c r="C558" s="470"/>
      <c r="D558" s="471"/>
      <c r="E558" s="476"/>
      <c r="F558" s="476"/>
    </row>
    <row r="559" spans="1:6" s="469" customFormat="1">
      <c r="A559" s="479"/>
      <c r="B559" s="480"/>
      <c r="C559" s="474"/>
      <c r="D559" s="475"/>
      <c r="E559" s="476"/>
      <c r="F559" s="476"/>
    </row>
    <row r="560" spans="1:6" s="469" customFormat="1">
      <c r="A560" s="479"/>
      <c r="B560" s="480"/>
      <c r="C560" s="474"/>
      <c r="D560" s="475"/>
      <c r="E560" s="476"/>
      <c r="F560" s="476"/>
    </row>
    <row r="561" spans="1:6" s="469" customFormat="1">
      <c r="A561" s="479"/>
      <c r="B561" s="480"/>
      <c r="C561" s="474"/>
      <c r="D561" s="475"/>
      <c r="E561" s="476"/>
      <c r="F561" s="476"/>
    </row>
    <row r="562" spans="1:6" s="469" customFormat="1">
      <c r="A562" s="473"/>
      <c r="B562" s="477"/>
      <c r="C562" s="470"/>
      <c r="D562" s="471"/>
      <c r="E562" s="476"/>
      <c r="F562" s="476"/>
    </row>
    <row r="563" spans="1:6" s="469" customFormat="1">
      <c r="A563" s="473"/>
      <c r="B563" s="477"/>
      <c r="C563" s="470"/>
      <c r="D563" s="471"/>
      <c r="E563" s="476"/>
      <c r="F563" s="476"/>
    </row>
    <row r="564" spans="1:6" s="469" customFormat="1">
      <c r="A564" s="473"/>
      <c r="B564" s="477"/>
      <c r="C564" s="470"/>
      <c r="D564" s="471"/>
      <c r="E564" s="476"/>
      <c r="F564" s="476"/>
    </row>
    <row r="565" spans="1:6" s="469" customFormat="1">
      <c r="A565" s="473"/>
      <c r="B565" s="477"/>
      <c r="C565" s="470"/>
      <c r="D565" s="471"/>
      <c r="E565" s="476"/>
      <c r="F565" s="476"/>
    </row>
    <row r="566" spans="1:6" s="469" customFormat="1">
      <c r="A566" s="473"/>
      <c r="B566" s="477"/>
      <c r="C566" s="470"/>
      <c r="D566" s="471"/>
      <c r="E566" s="476"/>
      <c r="F566" s="476"/>
    </row>
    <row r="567" spans="1:6" s="469" customFormat="1">
      <c r="A567" s="473"/>
      <c r="B567" s="477"/>
      <c r="C567" s="470"/>
      <c r="D567" s="471"/>
      <c r="E567" s="476"/>
      <c r="F567" s="476"/>
    </row>
    <row r="568" spans="1:6" s="469" customFormat="1">
      <c r="A568" s="473"/>
      <c r="B568" s="477"/>
      <c r="C568" s="470"/>
      <c r="D568" s="471"/>
      <c r="E568" s="476"/>
      <c r="F568" s="476"/>
    </row>
    <row r="569" spans="1:6" s="469" customFormat="1">
      <c r="A569" s="473"/>
      <c r="B569" s="477"/>
      <c r="C569" s="470"/>
      <c r="D569" s="471"/>
      <c r="E569" s="476"/>
      <c r="F569" s="476"/>
    </row>
    <row r="570" spans="1:6" s="469" customFormat="1">
      <c r="A570" s="473"/>
      <c r="B570" s="477"/>
      <c r="C570" s="470"/>
      <c r="D570" s="471"/>
      <c r="E570" s="476"/>
      <c r="F570" s="476"/>
    </row>
    <row r="571" spans="1:6" s="469" customFormat="1">
      <c r="A571" s="473"/>
      <c r="B571" s="477"/>
      <c r="C571" s="470"/>
      <c r="D571" s="471"/>
      <c r="E571" s="476"/>
      <c r="F571" s="476"/>
    </row>
    <row r="572" spans="1:6" s="469" customFormat="1">
      <c r="A572" s="473"/>
      <c r="B572" s="477"/>
      <c r="C572" s="470"/>
      <c r="D572" s="471"/>
      <c r="E572" s="476"/>
      <c r="F572" s="476"/>
    </row>
    <row r="573" spans="1:6" s="469" customFormat="1">
      <c r="A573" s="473"/>
      <c r="B573" s="477"/>
      <c r="C573" s="470"/>
      <c r="D573" s="471"/>
      <c r="E573" s="476"/>
      <c r="F573" s="476"/>
    </row>
    <row r="574" spans="1:6" s="469" customFormat="1">
      <c r="A574" s="473"/>
      <c r="B574" s="477"/>
      <c r="C574" s="470"/>
      <c r="D574" s="471"/>
      <c r="E574" s="476"/>
      <c r="F574" s="476"/>
    </row>
    <row r="575" spans="1:6" s="469" customFormat="1">
      <c r="A575" s="473"/>
      <c r="B575" s="477"/>
      <c r="C575" s="470"/>
      <c r="D575" s="471"/>
      <c r="E575" s="476"/>
      <c r="F575" s="476"/>
    </row>
    <row r="576" spans="1:6" s="469" customFormat="1">
      <c r="A576" s="473"/>
      <c r="B576" s="477"/>
      <c r="C576" s="470"/>
      <c r="D576" s="471"/>
      <c r="E576" s="476"/>
      <c r="F576" s="476"/>
    </row>
    <row r="577" spans="1:6" s="469" customFormat="1">
      <c r="A577" s="479"/>
      <c r="B577" s="478"/>
      <c r="C577" s="474"/>
      <c r="D577" s="475"/>
      <c r="E577" s="476"/>
      <c r="F577" s="476"/>
    </row>
    <row r="578" spans="1:6" s="469" customFormat="1">
      <c r="A578" s="479"/>
      <c r="B578" s="478"/>
      <c r="C578" s="474"/>
      <c r="D578" s="475"/>
      <c r="E578" s="476"/>
      <c r="F578" s="476"/>
    </row>
    <row r="579" spans="1:6" s="469" customFormat="1">
      <c r="A579" s="479"/>
      <c r="B579" s="478"/>
      <c r="C579" s="474"/>
      <c r="D579" s="475"/>
      <c r="E579" s="476"/>
      <c r="F579" s="476"/>
    </row>
    <row r="580" spans="1:6" s="469" customFormat="1">
      <c r="A580" s="479"/>
      <c r="B580" s="478"/>
      <c r="C580" s="474"/>
      <c r="D580" s="475"/>
      <c r="E580" s="476"/>
      <c r="F580" s="476"/>
    </row>
    <row r="581" spans="1:6" s="469" customFormat="1">
      <c r="A581" s="479"/>
      <c r="B581" s="478"/>
      <c r="C581" s="474"/>
      <c r="D581" s="475"/>
      <c r="E581" s="476"/>
      <c r="F581" s="476"/>
    </row>
    <row r="582" spans="1:6" s="469" customFormat="1">
      <c r="A582" s="479"/>
      <c r="B582" s="478"/>
      <c r="C582" s="474"/>
      <c r="D582" s="475"/>
      <c r="E582" s="476"/>
      <c r="F582" s="476"/>
    </row>
    <row r="583" spans="1:6" s="469" customFormat="1">
      <c r="A583" s="479"/>
      <c r="B583" s="478"/>
      <c r="C583" s="474"/>
      <c r="D583" s="475"/>
      <c r="E583" s="476"/>
      <c r="F583" s="476"/>
    </row>
    <row r="584" spans="1:6" s="469" customFormat="1">
      <c r="A584" s="479"/>
      <c r="B584" s="478"/>
      <c r="C584" s="474"/>
      <c r="D584" s="475"/>
      <c r="E584" s="476"/>
      <c r="F584" s="476"/>
    </row>
    <row r="585" spans="1:6" s="469" customFormat="1">
      <c r="A585" s="479"/>
      <c r="B585" s="478"/>
      <c r="C585" s="474"/>
      <c r="D585" s="475"/>
      <c r="E585" s="476"/>
      <c r="F585" s="476"/>
    </row>
    <row r="586" spans="1:6" s="469" customFormat="1">
      <c r="A586" s="479"/>
      <c r="B586" s="478"/>
      <c r="C586" s="474"/>
      <c r="D586" s="475"/>
      <c r="E586" s="476"/>
      <c r="F586" s="476"/>
    </row>
    <row r="587" spans="1:6" s="469" customFormat="1">
      <c r="A587" s="479"/>
      <c r="B587" s="478"/>
      <c r="C587" s="474"/>
      <c r="D587" s="475"/>
      <c r="E587" s="476"/>
      <c r="F587" s="476"/>
    </row>
    <row r="588" spans="1:6" s="469" customFormat="1">
      <c r="A588" s="479"/>
      <c r="B588" s="478"/>
      <c r="C588" s="474"/>
      <c r="D588" s="475"/>
      <c r="E588" s="476"/>
      <c r="F588" s="476"/>
    </row>
    <row r="589" spans="1:6" s="469" customFormat="1">
      <c r="A589" s="479"/>
      <c r="B589" s="478"/>
      <c r="C589" s="474"/>
      <c r="D589" s="475"/>
      <c r="E589" s="476"/>
      <c r="F589" s="476"/>
    </row>
    <row r="590" spans="1:6" s="469" customFormat="1">
      <c r="A590" s="479"/>
      <c r="B590" s="478"/>
      <c r="C590" s="474"/>
      <c r="D590" s="475"/>
      <c r="E590" s="476"/>
      <c r="F590" s="476"/>
    </row>
    <row r="591" spans="1:6" s="469" customFormat="1">
      <c r="A591" s="479"/>
      <c r="B591" s="478"/>
      <c r="C591" s="474"/>
      <c r="D591" s="475"/>
      <c r="E591" s="476"/>
      <c r="F591" s="476"/>
    </row>
    <row r="592" spans="1:6" s="469" customFormat="1">
      <c r="A592" s="479"/>
      <c r="B592" s="478"/>
      <c r="C592" s="474"/>
      <c r="D592" s="475"/>
      <c r="E592" s="476"/>
      <c r="F592" s="476"/>
    </row>
    <row r="593" spans="1:6" s="469" customFormat="1">
      <c r="A593" s="479"/>
      <c r="B593" s="478"/>
      <c r="C593" s="474"/>
      <c r="D593" s="475"/>
      <c r="E593" s="476"/>
      <c r="F593" s="476"/>
    </row>
    <row r="594" spans="1:6" s="469" customFormat="1">
      <c r="A594" s="479"/>
      <c r="B594" s="478"/>
      <c r="C594" s="474"/>
      <c r="D594" s="475"/>
      <c r="E594" s="476"/>
      <c r="F594" s="476"/>
    </row>
    <row r="595" spans="1:6" s="469" customFormat="1">
      <c r="A595" s="479"/>
      <c r="B595" s="478"/>
      <c r="C595" s="474"/>
      <c r="D595" s="475"/>
      <c r="E595" s="476"/>
      <c r="F595" s="476"/>
    </row>
    <row r="596" spans="1:6" s="469" customFormat="1">
      <c r="A596" s="479"/>
      <c r="B596" s="478"/>
      <c r="C596" s="474"/>
      <c r="D596" s="475"/>
      <c r="E596" s="476"/>
      <c r="F596" s="476"/>
    </row>
    <row r="597" spans="1:6" s="469" customFormat="1">
      <c r="A597" s="479"/>
      <c r="B597" s="478"/>
      <c r="C597" s="474"/>
      <c r="D597" s="475"/>
      <c r="E597" s="476"/>
      <c r="F597" s="476"/>
    </row>
    <row r="598" spans="1:6" s="469" customFormat="1">
      <c r="A598" s="479"/>
      <c r="B598" s="478"/>
      <c r="C598" s="474"/>
      <c r="D598" s="475"/>
      <c r="E598" s="476"/>
      <c r="F598" s="476"/>
    </row>
    <row r="599" spans="1:6" s="469" customFormat="1">
      <c r="A599" s="479"/>
      <c r="B599" s="478"/>
      <c r="C599" s="474"/>
      <c r="D599" s="475"/>
      <c r="E599" s="476"/>
      <c r="F599" s="476"/>
    </row>
    <row r="600" spans="1:6" s="469" customFormat="1">
      <c r="A600" s="479"/>
      <c r="B600" s="478"/>
      <c r="C600" s="474"/>
      <c r="D600" s="475"/>
      <c r="E600" s="476"/>
      <c r="F600" s="476"/>
    </row>
    <row r="601" spans="1:6" s="469" customFormat="1">
      <c r="A601" s="479"/>
      <c r="B601" s="478"/>
      <c r="C601" s="474"/>
      <c r="D601" s="475"/>
      <c r="E601" s="476"/>
      <c r="F601" s="476"/>
    </row>
    <row r="602" spans="1:6" s="469" customFormat="1">
      <c r="A602" s="479"/>
      <c r="B602" s="478"/>
      <c r="C602" s="474"/>
      <c r="D602" s="475"/>
      <c r="E602" s="476"/>
      <c r="F602" s="476"/>
    </row>
    <row r="603" spans="1:6" s="469" customFormat="1">
      <c r="A603" s="479"/>
      <c r="B603" s="478"/>
      <c r="C603" s="474"/>
      <c r="D603" s="475"/>
      <c r="E603" s="476"/>
      <c r="F603" s="476"/>
    </row>
    <row r="604" spans="1:6" s="469" customFormat="1">
      <c r="A604" s="479"/>
      <c r="B604" s="478"/>
      <c r="C604" s="474"/>
      <c r="D604" s="475"/>
      <c r="E604" s="476"/>
      <c r="F604" s="476"/>
    </row>
    <row r="605" spans="1:6" s="469" customFormat="1">
      <c r="A605" s="479"/>
      <c r="B605" s="478"/>
      <c r="C605" s="474"/>
      <c r="D605" s="475"/>
      <c r="E605" s="476"/>
      <c r="F605" s="476"/>
    </row>
    <row r="606" spans="1:6" s="469" customFormat="1">
      <c r="A606" s="479"/>
      <c r="B606" s="478"/>
      <c r="C606" s="474"/>
      <c r="D606" s="475"/>
      <c r="E606" s="476"/>
      <c r="F606" s="476"/>
    </row>
    <row r="607" spans="1:6" s="469" customFormat="1">
      <c r="A607" s="479"/>
      <c r="B607" s="478"/>
      <c r="C607" s="474"/>
      <c r="D607" s="475"/>
      <c r="E607" s="476"/>
      <c r="F607" s="476"/>
    </row>
    <row r="608" spans="1:6" s="469" customFormat="1">
      <c r="A608" s="479"/>
      <c r="B608" s="478"/>
      <c r="C608" s="474"/>
      <c r="D608" s="475"/>
      <c r="E608" s="476"/>
      <c r="F608" s="476"/>
    </row>
    <row r="609" spans="1:6" s="469" customFormat="1">
      <c r="A609" s="479"/>
      <c r="B609" s="478"/>
      <c r="C609" s="474"/>
      <c r="D609" s="475"/>
      <c r="E609" s="476"/>
      <c r="F609" s="476"/>
    </row>
    <row r="610" spans="1:6" s="469" customFormat="1">
      <c r="A610" s="479"/>
      <c r="B610" s="478"/>
      <c r="C610" s="474"/>
      <c r="D610" s="475"/>
      <c r="E610" s="476"/>
      <c r="F610" s="476"/>
    </row>
    <row r="611" spans="1:6" s="469" customFormat="1">
      <c r="A611" s="479"/>
      <c r="B611" s="478"/>
      <c r="C611" s="474"/>
      <c r="D611" s="475"/>
      <c r="E611" s="476"/>
      <c r="F611" s="476"/>
    </row>
    <row r="612" spans="1:6" s="469" customFormat="1">
      <c r="A612" s="479"/>
      <c r="B612" s="478"/>
      <c r="C612" s="474"/>
      <c r="D612" s="475"/>
      <c r="E612" s="476"/>
      <c r="F612" s="476"/>
    </row>
    <row r="613" spans="1:6" s="469" customFormat="1">
      <c r="A613" s="479"/>
      <c r="B613" s="478"/>
      <c r="C613" s="474"/>
      <c r="D613" s="475"/>
      <c r="E613" s="476"/>
      <c r="F613" s="476"/>
    </row>
    <row r="614" spans="1:6" s="469" customFormat="1">
      <c r="A614" s="479"/>
      <c r="B614" s="478"/>
      <c r="C614" s="474"/>
      <c r="D614" s="475"/>
      <c r="E614" s="476"/>
      <c r="F614" s="476"/>
    </row>
    <row r="615" spans="1:6" s="469" customFormat="1">
      <c r="A615" s="479"/>
      <c r="B615" s="478"/>
      <c r="C615" s="474"/>
      <c r="D615" s="475"/>
      <c r="E615" s="476"/>
      <c r="F615" s="476"/>
    </row>
    <row r="616" spans="1:6" s="469" customFormat="1">
      <c r="A616" s="479"/>
      <c r="B616" s="478"/>
      <c r="C616" s="474"/>
      <c r="D616" s="475"/>
      <c r="E616" s="476"/>
      <c r="F616" s="476"/>
    </row>
    <row r="617" spans="1:6" s="469" customFormat="1">
      <c r="A617" s="479"/>
      <c r="B617" s="478"/>
      <c r="C617" s="474"/>
      <c r="D617" s="475"/>
      <c r="E617" s="476"/>
      <c r="F617" s="476"/>
    </row>
    <row r="618" spans="1:6" s="469" customFormat="1">
      <c r="A618" s="479"/>
      <c r="B618" s="478"/>
      <c r="C618" s="474"/>
      <c r="D618" s="475"/>
      <c r="E618" s="476"/>
      <c r="F618" s="476"/>
    </row>
    <row r="619" spans="1:6" s="469" customFormat="1">
      <c r="A619" s="479"/>
      <c r="B619" s="478"/>
      <c r="C619" s="474"/>
      <c r="D619" s="475"/>
      <c r="E619" s="476"/>
      <c r="F619" s="476"/>
    </row>
    <row r="620" spans="1:6" s="469" customFormat="1">
      <c r="A620" s="479"/>
      <c r="B620" s="478"/>
      <c r="C620" s="474"/>
      <c r="D620" s="475"/>
      <c r="E620" s="476"/>
      <c r="F620" s="476"/>
    </row>
    <row r="621" spans="1:6" s="469" customFormat="1">
      <c r="A621" s="479"/>
      <c r="B621" s="478"/>
      <c r="C621" s="474"/>
      <c r="D621" s="475"/>
      <c r="E621" s="476"/>
      <c r="F621" s="476"/>
    </row>
    <row r="622" spans="1:6" s="469" customFormat="1">
      <c r="A622" s="479"/>
      <c r="B622" s="478"/>
      <c r="C622" s="474"/>
      <c r="D622" s="475"/>
      <c r="E622" s="476"/>
      <c r="F622" s="476"/>
    </row>
    <row r="623" spans="1:6" s="469" customFormat="1">
      <c r="A623" s="479"/>
      <c r="B623" s="478"/>
      <c r="C623" s="474"/>
      <c r="D623" s="475"/>
      <c r="E623" s="476"/>
      <c r="F623" s="476"/>
    </row>
    <row r="624" spans="1:6" s="469" customFormat="1">
      <c r="A624" s="479"/>
      <c r="B624" s="478"/>
      <c r="C624" s="474"/>
      <c r="D624" s="475"/>
      <c r="E624" s="476"/>
      <c r="F624" s="476"/>
    </row>
    <row r="625" spans="1:6" s="469" customFormat="1">
      <c r="A625" s="479"/>
      <c r="B625" s="478"/>
      <c r="C625" s="474"/>
      <c r="D625" s="475"/>
      <c r="E625" s="476"/>
      <c r="F625" s="476"/>
    </row>
    <row r="626" spans="1:6" s="469" customFormat="1">
      <c r="A626" s="479"/>
      <c r="B626" s="478"/>
      <c r="C626" s="474"/>
      <c r="D626" s="475"/>
      <c r="E626" s="476"/>
      <c r="F626" s="476"/>
    </row>
    <row r="627" spans="1:6" s="469" customFormat="1">
      <c r="A627" s="479"/>
      <c r="B627" s="478"/>
      <c r="C627" s="474"/>
      <c r="D627" s="475"/>
      <c r="E627" s="476"/>
      <c r="F627" s="476"/>
    </row>
    <row r="628" spans="1:6" s="469" customFormat="1">
      <c r="A628" s="479"/>
      <c r="B628" s="478"/>
      <c r="C628" s="474"/>
      <c r="D628" s="475"/>
      <c r="E628" s="476"/>
      <c r="F628" s="476"/>
    </row>
    <row r="629" spans="1:6" s="469" customFormat="1">
      <c r="A629" s="479"/>
      <c r="B629" s="478"/>
      <c r="C629" s="474"/>
      <c r="D629" s="475"/>
      <c r="E629" s="476"/>
      <c r="F629" s="476"/>
    </row>
    <row r="630" spans="1:6" s="469" customFormat="1">
      <c r="A630" s="479"/>
      <c r="B630" s="478"/>
      <c r="C630" s="474"/>
      <c r="D630" s="475"/>
      <c r="E630" s="476"/>
      <c r="F630" s="476"/>
    </row>
    <row r="631" spans="1:6" s="469" customFormat="1">
      <c r="A631" s="479"/>
      <c r="B631" s="478"/>
      <c r="C631" s="474"/>
      <c r="D631" s="475"/>
      <c r="E631" s="476"/>
      <c r="F631" s="476"/>
    </row>
    <row r="632" spans="1:6" s="469" customFormat="1">
      <c r="A632" s="479"/>
      <c r="B632" s="478"/>
      <c r="C632" s="474"/>
      <c r="D632" s="475"/>
      <c r="E632" s="476"/>
      <c r="F632" s="476"/>
    </row>
    <row r="633" spans="1:6" s="469" customFormat="1">
      <c r="A633" s="479"/>
      <c r="B633" s="478"/>
      <c r="C633" s="474"/>
      <c r="D633" s="475"/>
      <c r="E633" s="476"/>
      <c r="F633" s="476"/>
    </row>
    <row r="634" spans="1:6" s="469" customFormat="1">
      <c r="A634" s="479"/>
      <c r="B634" s="478"/>
      <c r="C634" s="474"/>
      <c r="D634" s="475"/>
      <c r="E634" s="476"/>
      <c r="F634" s="476"/>
    </row>
    <row r="635" spans="1:6" s="469" customFormat="1">
      <c r="A635" s="479"/>
      <c r="B635" s="478"/>
      <c r="C635" s="474"/>
      <c r="D635" s="475"/>
      <c r="E635" s="476"/>
      <c r="F635" s="476"/>
    </row>
    <row r="636" spans="1:6" s="469" customFormat="1">
      <c r="A636" s="479"/>
      <c r="B636" s="478"/>
      <c r="C636" s="474"/>
      <c r="D636" s="475"/>
      <c r="E636" s="476"/>
      <c r="F636" s="476"/>
    </row>
    <row r="637" spans="1:6" s="469" customFormat="1">
      <c r="A637" s="479"/>
      <c r="B637" s="478"/>
      <c r="C637" s="474"/>
      <c r="D637" s="475"/>
      <c r="E637" s="476"/>
      <c r="F637" s="476"/>
    </row>
    <row r="638" spans="1:6" s="469" customFormat="1">
      <c r="A638" s="479"/>
      <c r="B638" s="478"/>
      <c r="C638" s="474"/>
      <c r="D638" s="475"/>
      <c r="E638" s="476"/>
      <c r="F638" s="476"/>
    </row>
    <row r="639" spans="1:6" s="469" customFormat="1">
      <c r="A639" s="479"/>
      <c r="B639" s="478"/>
      <c r="C639" s="474"/>
      <c r="D639" s="475"/>
      <c r="E639" s="476"/>
      <c r="F639" s="476"/>
    </row>
    <row r="640" spans="1:6" s="469" customFormat="1">
      <c r="A640" s="479"/>
      <c r="B640" s="478"/>
      <c r="C640" s="474"/>
      <c r="D640" s="475"/>
      <c r="E640" s="476"/>
      <c r="F640" s="476"/>
    </row>
    <row r="641" spans="1:6" s="469" customFormat="1">
      <c r="A641" s="479"/>
      <c r="B641" s="478"/>
      <c r="C641" s="474"/>
      <c r="D641" s="475"/>
      <c r="E641" s="476"/>
      <c r="F641" s="476"/>
    </row>
    <row r="642" spans="1:6" s="469" customFormat="1">
      <c r="A642" s="479"/>
      <c r="B642" s="478"/>
      <c r="C642" s="474"/>
      <c r="D642" s="475"/>
      <c r="E642" s="476"/>
      <c r="F642" s="476"/>
    </row>
    <row r="643" spans="1:6" s="469" customFormat="1">
      <c r="A643" s="479"/>
      <c r="B643" s="478"/>
      <c r="C643" s="474"/>
      <c r="D643" s="475"/>
      <c r="E643" s="476"/>
      <c r="F643" s="476"/>
    </row>
    <row r="644" spans="1:6" s="469" customFormat="1">
      <c r="A644" s="479"/>
      <c r="B644" s="478"/>
      <c r="C644" s="474"/>
      <c r="D644" s="475"/>
      <c r="E644" s="476"/>
      <c r="F644" s="476"/>
    </row>
    <row r="645" spans="1:6" s="469" customFormat="1">
      <c r="A645" s="479"/>
      <c r="B645" s="478"/>
      <c r="C645" s="474"/>
      <c r="D645" s="475"/>
      <c r="E645" s="476"/>
      <c r="F645" s="476"/>
    </row>
    <row r="646" spans="1:6" s="469" customFormat="1">
      <c r="A646" s="479"/>
      <c r="B646" s="478"/>
      <c r="C646" s="474"/>
      <c r="D646" s="475"/>
      <c r="E646" s="476"/>
      <c r="F646" s="476"/>
    </row>
    <row r="647" spans="1:6" s="469" customFormat="1">
      <c r="A647" s="479"/>
      <c r="B647" s="478"/>
      <c r="C647" s="474"/>
      <c r="D647" s="475"/>
      <c r="E647" s="476"/>
      <c r="F647" s="476"/>
    </row>
    <row r="648" spans="1:6" s="469" customFormat="1">
      <c r="A648" s="479"/>
      <c r="B648" s="478"/>
      <c r="C648" s="474"/>
      <c r="D648" s="475"/>
      <c r="E648" s="476"/>
      <c r="F648" s="476"/>
    </row>
    <row r="649" spans="1:6" s="469" customFormat="1">
      <c r="A649" s="479"/>
      <c r="B649" s="478"/>
      <c r="C649" s="474"/>
      <c r="D649" s="475"/>
      <c r="E649" s="476"/>
      <c r="F649" s="476"/>
    </row>
    <row r="650" spans="1:6" s="469" customFormat="1">
      <c r="A650" s="479"/>
      <c r="B650" s="478"/>
      <c r="C650" s="474"/>
      <c r="D650" s="475"/>
      <c r="E650" s="476"/>
      <c r="F650" s="476"/>
    </row>
    <row r="651" spans="1:6" s="469" customFormat="1">
      <c r="A651" s="479"/>
      <c r="B651" s="478"/>
      <c r="C651" s="474"/>
      <c r="D651" s="475"/>
      <c r="E651" s="476"/>
      <c r="F651" s="476"/>
    </row>
    <row r="652" spans="1:6" s="469" customFormat="1">
      <c r="A652" s="479"/>
      <c r="B652" s="478"/>
      <c r="C652" s="474"/>
      <c r="D652" s="475"/>
      <c r="E652" s="476"/>
      <c r="F652" s="476"/>
    </row>
    <row r="653" spans="1:6" s="469" customFormat="1">
      <c r="A653" s="479"/>
      <c r="B653" s="478"/>
      <c r="C653" s="474"/>
      <c r="D653" s="475"/>
      <c r="E653" s="476"/>
      <c r="F653" s="476"/>
    </row>
    <row r="654" spans="1:6" s="469" customFormat="1">
      <c r="A654" s="479"/>
      <c r="B654" s="478"/>
      <c r="C654" s="474"/>
      <c r="D654" s="475"/>
      <c r="E654" s="476"/>
      <c r="F654" s="476"/>
    </row>
    <row r="655" spans="1:6" s="469" customFormat="1">
      <c r="A655" s="479"/>
      <c r="B655" s="478"/>
      <c r="C655" s="474"/>
      <c r="D655" s="475"/>
      <c r="E655" s="476"/>
      <c r="F655" s="476"/>
    </row>
    <row r="656" spans="1:6" s="469" customFormat="1">
      <c r="A656" s="479"/>
      <c r="B656" s="478"/>
      <c r="C656" s="474"/>
      <c r="D656" s="475"/>
      <c r="E656" s="476"/>
      <c r="F656" s="476"/>
    </row>
    <row r="657" spans="1:6" s="469" customFormat="1">
      <c r="A657" s="479"/>
      <c r="B657" s="478"/>
      <c r="C657" s="474"/>
      <c r="D657" s="475"/>
      <c r="E657" s="476"/>
      <c r="F657" s="476"/>
    </row>
    <row r="658" spans="1:6" s="469" customFormat="1">
      <c r="A658" s="479"/>
      <c r="B658" s="478"/>
      <c r="C658" s="474"/>
      <c r="D658" s="475"/>
      <c r="E658" s="476"/>
      <c r="F658" s="476"/>
    </row>
    <row r="659" spans="1:6" s="469" customFormat="1">
      <c r="A659" s="479"/>
      <c r="B659" s="478"/>
      <c r="C659" s="474"/>
      <c r="D659" s="475"/>
      <c r="E659" s="476"/>
      <c r="F659" s="476"/>
    </row>
    <row r="660" spans="1:6" s="469" customFormat="1">
      <c r="A660" s="479"/>
      <c r="B660" s="478"/>
      <c r="C660" s="474"/>
      <c r="D660" s="475"/>
      <c r="E660" s="476"/>
      <c r="F660" s="476"/>
    </row>
    <row r="661" spans="1:6" s="469" customFormat="1">
      <c r="A661" s="479"/>
      <c r="B661" s="478"/>
      <c r="C661" s="474"/>
      <c r="D661" s="475"/>
      <c r="E661" s="476"/>
      <c r="F661" s="476"/>
    </row>
    <row r="662" spans="1:6" s="469" customFormat="1">
      <c r="A662" s="479"/>
      <c r="B662" s="478"/>
      <c r="C662" s="474"/>
      <c r="D662" s="475"/>
      <c r="E662" s="476"/>
      <c r="F662" s="476"/>
    </row>
    <row r="663" spans="1:6" s="469" customFormat="1">
      <c r="A663" s="479"/>
      <c r="B663" s="478"/>
      <c r="C663" s="474"/>
      <c r="D663" s="475"/>
      <c r="E663" s="476"/>
      <c r="F663" s="476"/>
    </row>
    <row r="664" spans="1:6" s="469" customFormat="1">
      <c r="A664" s="479"/>
      <c r="B664" s="478"/>
      <c r="C664" s="474"/>
      <c r="D664" s="475"/>
      <c r="E664" s="476"/>
      <c r="F664" s="476"/>
    </row>
    <row r="665" spans="1:6" s="469" customFormat="1">
      <c r="A665" s="479"/>
      <c r="B665" s="478"/>
      <c r="C665" s="474"/>
      <c r="D665" s="475"/>
      <c r="E665" s="476"/>
      <c r="F665" s="476"/>
    </row>
    <row r="666" spans="1:6" s="469" customFormat="1">
      <c r="A666" s="479"/>
      <c r="B666" s="478"/>
      <c r="C666" s="474"/>
      <c r="D666" s="475"/>
      <c r="E666" s="476"/>
      <c r="F666" s="476"/>
    </row>
    <row r="667" spans="1:6" s="469" customFormat="1">
      <c r="A667" s="479"/>
      <c r="B667" s="478"/>
      <c r="C667" s="474"/>
      <c r="D667" s="475"/>
      <c r="E667" s="476"/>
      <c r="F667" s="476"/>
    </row>
    <row r="668" spans="1:6" s="469" customFormat="1">
      <c r="A668" s="479"/>
      <c r="B668" s="478"/>
      <c r="C668" s="474"/>
      <c r="D668" s="475"/>
      <c r="E668" s="476"/>
      <c r="F668" s="476"/>
    </row>
    <row r="669" spans="1:6" s="469" customFormat="1">
      <c r="A669" s="479"/>
      <c r="B669" s="478"/>
      <c r="C669" s="474"/>
      <c r="D669" s="475"/>
      <c r="E669" s="476"/>
      <c r="F669" s="476"/>
    </row>
    <row r="670" spans="1:6" s="469" customFormat="1">
      <c r="A670" s="479"/>
      <c r="B670" s="478"/>
      <c r="C670" s="474"/>
      <c r="D670" s="475"/>
      <c r="E670" s="476"/>
      <c r="F670" s="476"/>
    </row>
    <row r="671" spans="1:6" s="469" customFormat="1">
      <c r="A671" s="479"/>
      <c r="B671" s="478"/>
      <c r="C671" s="474"/>
      <c r="D671" s="475"/>
      <c r="E671" s="476"/>
      <c r="F671" s="476"/>
    </row>
    <row r="672" spans="1:6" s="469" customFormat="1">
      <c r="A672" s="479"/>
      <c r="B672" s="478"/>
      <c r="C672" s="474"/>
      <c r="D672" s="475"/>
      <c r="E672" s="476"/>
      <c r="F672" s="476"/>
    </row>
    <row r="673" spans="1:6" s="469" customFormat="1">
      <c r="A673" s="479"/>
      <c r="B673" s="478"/>
      <c r="C673" s="474"/>
      <c r="D673" s="475"/>
      <c r="E673" s="476"/>
      <c r="F673" s="476"/>
    </row>
    <row r="674" spans="1:6" s="469" customFormat="1">
      <c r="A674" s="479"/>
      <c r="B674" s="478"/>
      <c r="C674" s="474"/>
      <c r="D674" s="475"/>
      <c r="E674" s="476"/>
      <c r="F674" s="476"/>
    </row>
    <row r="675" spans="1:6" s="469" customFormat="1">
      <c r="A675" s="479"/>
      <c r="B675" s="478"/>
      <c r="C675" s="474"/>
      <c r="D675" s="475"/>
      <c r="E675" s="476"/>
      <c r="F675" s="476"/>
    </row>
    <row r="676" spans="1:6" s="469" customFormat="1">
      <c r="A676" s="479"/>
      <c r="B676" s="478"/>
      <c r="C676" s="474"/>
      <c r="D676" s="475"/>
      <c r="E676" s="476"/>
      <c r="F676" s="476"/>
    </row>
    <row r="677" spans="1:6" s="469" customFormat="1">
      <c r="A677" s="479"/>
      <c r="B677" s="478"/>
      <c r="C677" s="474"/>
      <c r="D677" s="475"/>
      <c r="E677" s="476"/>
      <c r="F677" s="476"/>
    </row>
    <row r="678" spans="1:6" s="469" customFormat="1">
      <c r="A678" s="479"/>
      <c r="B678" s="478"/>
      <c r="C678" s="474"/>
      <c r="D678" s="475"/>
      <c r="E678" s="476"/>
      <c r="F678" s="476"/>
    </row>
    <row r="679" spans="1:6" s="469" customFormat="1">
      <c r="A679" s="479"/>
      <c r="B679" s="478"/>
      <c r="C679" s="474"/>
      <c r="D679" s="475"/>
      <c r="E679" s="476"/>
      <c r="F679" s="476"/>
    </row>
    <row r="680" spans="1:6" s="469" customFormat="1">
      <c r="A680" s="479"/>
      <c r="B680" s="478"/>
      <c r="C680" s="474"/>
      <c r="D680" s="475"/>
      <c r="E680" s="476"/>
      <c r="F680" s="476"/>
    </row>
    <row r="681" spans="1:6" s="469" customFormat="1">
      <c r="A681" s="479"/>
      <c r="B681" s="478"/>
      <c r="C681" s="474"/>
      <c r="D681" s="475"/>
      <c r="E681" s="476"/>
      <c r="F681" s="476"/>
    </row>
    <row r="682" spans="1:6" s="469" customFormat="1">
      <c r="A682" s="479"/>
      <c r="B682" s="478"/>
      <c r="C682" s="474"/>
      <c r="D682" s="475"/>
      <c r="E682" s="476"/>
      <c r="F682" s="476"/>
    </row>
    <row r="683" spans="1:6" s="469" customFormat="1">
      <c r="A683" s="479"/>
      <c r="B683" s="478"/>
      <c r="C683" s="474"/>
      <c r="D683" s="475"/>
      <c r="E683" s="476"/>
      <c r="F683" s="476"/>
    </row>
    <row r="684" spans="1:6" s="469" customFormat="1">
      <c r="A684" s="479"/>
      <c r="B684" s="478"/>
      <c r="C684" s="474"/>
      <c r="D684" s="475"/>
      <c r="E684" s="476"/>
      <c r="F684" s="476"/>
    </row>
    <row r="685" spans="1:6" s="469" customFormat="1">
      <c r="A685" s="479"/>
      <c r="B685" s="478"/>
      <c r="C685" s="474"/>
      <c r="D685" s="475"/>
      <c r="E685" s="476"/>
      <c r="F685" s="476"/>
    </row>
    <row r="686" spans="1:6" s="469" customFormat="1">
      <c r="A686" s="479"/>
      <c r="B686" s="478"/>
      <c r="C686" s="474"/>
      <c r="D686" s="475"/>
      <c r="E686" s="476"/>
      <c r="F686" s="476"/>
    </row>
    <row r="687" spans="1:6" s="469" customFormat="1">
      <c r="A687" s="479"/>
      <c r="B687" s="478"/>
      <c r="C687" s="474"/>
      <c r="D687" s="475"/>
      <c r="E687" s="476"/>
      <c r="F687" s="476"/>
    </row>
    <row r="688" spans="1:6" s="469" customFormat="1">
      <c r="A688" s="479"/>
      <c r="B688" s="478"/>
      <c r="C688" s="474"/>
      <c r="D688" s="475"/>
      <c r="E688" s="476"/>
      <c r="F688" s="476"/>
    </row>
    <row r="689" spans="1:6" s="469" customFormat="1">
      <c r="A689" s="479"/>
      <c r="B689" s="478"/>
      <c r="C689" s="474"/>
      <c r="D689" s="475"/>
      <c r="E689" s="476"/>
      <c r="F689" s="476"/>
    </row>
    <row r="690" spans="1:6" s="469" customFormat="1">
      <c r="A690" s="479"/>
      <c r="B690" s="478"/>
      <c r="C690" s="474"/>
      <c r="D690" s="475"/>
      <c r="E690" s="476"/>
      <c r="F690" s="476"/>
    </row>
    <row r="691" spans="1:6" s="469" customFormat="1">
      <c r="A691" s="479"/>
      <c r="B691" s="478"/>
      <c r="C691" s="474"/>
      <c r="D691" s="475"/>
      <c r="E691" s="476"/>
      <c r="F691" s="476"/>
    </row>
    <row r="692" spans="1:6" s="469" customFormat="1">
      <c r="A692" s="479"/>
      <c r="B692" s="478"/>
      <c r="C692" s="474"/>
      <c r="D692" s="475"/>
      <c r="E692" s="476"/>
      <c r="F692" s="476"/>
    </row>
    <row r="693" spans="1:6" s="469" customFormat="1">
      <c r="A693" s="479"/>
      <c r="B693" s="478"/>
      <c r="C693" s="474"/>
      <c r="D693" s="475"/>
      <c r="E693" s="476"/>
      <c r="F693" s="476"/>
    </row>
    <row r="694" spans="1:6" s="469" customFormat="1">
      <c r="A694" s="479"/>
      <c r="B694" s="478"/>
      <c r="C694" s="474"/>
      <c r="D694" s="475"/>
      <c r="E694" s="476"/>
      <c r="F694" s="476"/>
    </row>
    <row r="695" spans="1:6" s="469" customFormat="1">
      <c r="A695" s="479"/>
      <c r="B695" s="478"/>
      <c r="C695" s="474"/>
      <c r="D695" s="475"/>
      <c r="E695" s="476"/>
      <c r="F695" s="476"/>
    </row>
    <row r="696" spans="1:6" s="469" customFormat="1">
      <c r="A696" s="479"/>
      <c r="B696" s="478"/>
      <c r="C696" s="474"/>
      <c r="D696" s="475"/>
      <c r="E696" s="476"/>
      <c r="F696" s="476"/>
    </row>
    <row r="697" spans="1:6" s="469" customFormat="1">
      <c r="A697" s="479"/>
      <c r="B697" s="478"/>
      <c r="C697" s="474"/>
      <c r="D697" s="475"/>
      <c r="E697" s="476"/>
      <c r="F697" s="476"/>
    </row>
    <row r="698" spans="1:6" s="469" customFormat="1">
      <c r="A698" s="479"/>
      <c r="B698" s="478"/>
      <c r="C698" s="474"/>
      <c r="D698" s="475"/>
      <c r="E698" s="476"/>
      <c r="F698" s="476"/>
    </row>
    <row r="699" spans="1:6" s="469" customFormat="1">
      <c r="A699" s="479"/>
      <c r="B699" s="478"/>
      <c r="C699" s="474"/>
      <c r="D699" s="475"/>
      <c r="E699" s="476"/>
      <c r="F699" s="476"/>
    </row>
    <row r="700" spans="1:6" s="469" customFormat="1">
      <c r="A700" s="479"/>
      <c r="B700" s="478"/>
      <c r="C700" s="474"/>
      <c r="D700" s="475"/>
      <c r="E700" s="476"/>
      <c r="F700" s="476"/>
    </row>
    <row r="701" spans="1:6" s="469" customFormat="1">
      <c r="A701" s="479"/>
      <c r="B701" s="478"/>
      <c r="C701" s="474"/>
      <c r="D701" s="475"/>
      <c r="E701" s="476"/>
      <c r="F701" s="476"/>
    </row>
    <row r="702" spans="1:6" s="469" customFormat="1">
      <c r="A702" s="479"/>
      <c r="B702" s="478"/>
      <c r="C702" s="474"/>
      <c r="D702" s="475"/>
      <c r="E702" s="476"/>
      <c r="F702" s="476"/>
    </row>
    <row r="703" spans="1:6" s="469" customFormat="1">
      <c r="A703" s="479"/>
      <c r="B703" s="478"/>
      <c r="C703" s="474"/>
      <c r="D703" s="475"/>
      <c r="E703" s="476"/>
      <c r="F703" s="476"/>
    </row>
    <row r="704" spans="1:6" s="469" customFormat="1">
      <c r="A704" s="479"/>
      <c r="B704" s="478"/>
      <c r="C704" s="474"/>
      <c r="D704" s="475"/>
      <c r="E704" s="476"/>
      <c r="F704" s="476"/>
    </row>
    <row r="705" spans="1:6" s="469" customFormat="1">
      <c r="A705" s="479"/>
      <c r="B705" s="478"/>
      <c r="C705" s="474"/>
      <c r="D705" s="475"/>
      <c r="E705" s="476"/>
      <c r="F705" s="476"/>
    </row>
    <row r="706" spans="1:6" s="469" customFormat="1">
      <c r="A706" s="479"/>
      <c r="B706" s="478"/>
      <c r="C706" s="474"/>
      <c r="D706" s="475"/>
      <c r="E706" s="476"/>
      <c r="F706" s="476"/>
    </row>
    <row r="707" spans="1:6" s="469" customFormat="1">
      <c r="A707" s="479"/>
      <c r="B707" s="478"/>
      <c r="C707" s="474"/>
      <c r="D707" s="475"/>
      <c r="E707" s="476"/>
      <c r="F707" s="476"/>
    </row>
    <row r="708" spans="1:6" s="469" customFormat="1">
      <c r="A708" s="479"/>
      <c r="B708" s="478"/>
      <c r="C708" s="474"/>
      <c r="D708" s="475"/>
      <c r="E708" s="476"/>
      <c r="F708" s="476"/>
    </row>
    <row r="709" spans="1:6" s="469" customFormat="1">
      <c r="A709" s="479"/>
      <c r="B709" s="478"/>
      <c r="C709" s="474"/>
      <c r="D709" s="475"/>
      <c r="E709" s="476"/>
      <c r="F709" s="476"/>
    </row>
    <row r="710" spans="1:6" s="469" customFormat="1">
      <c r="A710" s="479"/>
      <c r="B710" s="478"/>
      <c r="C710" s="474"/>
      <c r="D710" s="475"/>
      <c r="E710" s="476"/>
      <c r="F710" s="476"/>
    </row>
    <row r="711" spans="1:6" s="469" customFormat="1">
      <c r="A711" s="479"/>
      <c r="B711" s="478"/>
      <c r="C711" s="474"/>
      <c r="D711" s="475"/>
      <c r="E711" s="476"/>
      <c r="F711" s="476"/>
    </row>
    <row r="712" spans="1:6" s="469" customFormat="1">
      <c r="A712" s="479"/>
      <c r="B712" s="478"/>
      <c r="C712" s="474"/>
      <c r="D712" s="475"/>
      <c r="E712" s="476"/>
      <c r="F712" s="476"/>
    </row>
    <row r="713" spans="1:6" s="469" customFormat="1">
      <c r="A713" s="479"/>
      <c r="B713" s="478"/>
      <c r="C713" s="474"/>
      <c r="D713" s="475"/>
      <c r="E713" s="476"/>
      <c r="F713" s="476"/>
    </row>
    <row r="714" spans="1:6" s="469" customFormat="1">
      <c r="A714" s="479"/>
      <c r="B714" s="478"/>
      <c r="C714" s="474"/>
      <c r="D714" s="475"/>
      <c r="E714" s="476"/>
      <c r="F714" s="476"/>
    </row>
    <row r="715" spans="1:6" s="469" customFormat="1">
      <c r="A715" s="479"/>
      <c r="B715" s="478"/>
      <c r="C715" s="474"/>
      <c r="D715" s="475"/>
      <c r="E715" s="476"/>
      <c r="F715" s="476"/>
    </row>
    <row r="716" spans="1:6" s="469" customFormat="1">
      <c r="A716" s="479"/>
      <c r="B716" s="478"/>
      <c r="C716" s="474"/>
      <c r="D716" s="475"/>
      <c r="E716" s="476"/>
      <c r="F716" s="476"/>
    </row>
    <row r="717" spans="1:6" s="469" customFormat="1">
      <c r="A717" s="479"/>
      <c r="B717" s="478"/>
      <c r="C717" s="474"/>
      <c r="D717" s="475"/>
      <c r="E717" s="476"/>
      <c r="F717" s="476"/>
    </row>
    <row r="718" spans="1:6" s="469" customFormat="1">
      <c r="A718" s="479"/>
      <c r="B718" s="478"/>
      <c r="C718" s="474"/>
      <c r="D718" s="475"/>
      <c r="E718" s="476"/>
      <c r="F718" s="476"/>
    </row>
    <row r="719" spans="1:6" s="469" customFormat="1">
      <c r="A719" s="479"/>
      <c r="B719" s="478"/>
      <c r="C719" s="474"/>
      <c r="D719" s="475"/>
      <c r="E719" s="476"/>
      <c r="F719" s="476"/>
    </row>
    <row r="720" spans="1:6" s="469" customFormat="1">
      <c r="A720" s="479"/>
      <c r="B720" s="478"/>
      <c r="C720" s="474"/>
      <c r="D720" s="475"/>
      <c r="E720" s="476"/>
      <c r="F720" s="476"/>
    </row>
    <row r="721" spans="1:6" s="469" customFormat="1">
      <c r="A721" s="479"/>
      <c r="B721" s="478"/>
      <c r="C721" s="474"/>
      <c r="D721" s="475"/>
      <c r="E721" s="476"/>
      <c r="F721" s="476"/>
    </row>
    <row r="722" spans="1:6" s="469" customFormat="1">
      <c r="A722" s="479"/>
      <c r="B722" s="478"/>
      <c r="C722" s="474"/>
      <c r="D722" s="475"/>
      <c r="E722" s="476"/>
      <c r="F722" s="476"/>
    </row>
    <row r="723" spans="1:6" s="469" customFormat="1">
      <c r="A723" s="479"/>
      <c r="B723" s="478"/>
      <c r="C723" s="474"/>
      <c r="D723" s="475"/>
      <c r="E723" s="476"/>
      <c r="F723" s="476"/>
    </row>
    <row r="724" spans="1:6" s="469" customFormat="1">
      <c r="A724" s="479"/>
      <c r="B724" s="478"/>
      <c r="C724" s="474"/>
      <c r="D724" s="475"/>
      <c r="E724" s="476"/>
      <c r="F724" s="476"/>
    </row>
    <row r="725" spans="1:6" s="469" customFormat="1">
      <c r="A725" s="479"/>
      <c r="B725" s="478"/>
      <c r="C725" s="474"/>
      <c r="D725" s="475"/>
      <c r="E725" s="476"/>
      <c r="F725" s="476"/>
    </row>
    <row r="726" spans="1:6" s="469" customFormat="1">
      <c r="A726" s="479"/>
      <c r="B726" s="478"/>
      <c r="C726" s="474"/>
      <c r="D726" s="475"/>
      <c r="E726" s="476"/>
      <c r="F726" s="476"/>
    </row>
    <row r="727" spans="1:6" s="469" customFormat="1">
      <c r="A727" s="479"/>
      <c r="B727" s="478"/>
      <c r="C727" s="474"/>
      <c r="D727" s="475"/>
      <c r="E727" s="476"/>
      <c r="F727" s="476"/>
    </row>
    <row r="728" spans="1:6" s="469" customFormat="1">
      <c r="A728" s="479"/>
      <c r="B728" s="478"/>
      <c r="C728" s="474"/>
      <c r="D728" s="475"/>
      <c r="E728" s="476"/>
      <c r="F728" s="476"/>
    </row>
    <row r="729" spans="1:6" s="469" customFormat="1">
      <c r="A729" s="479"/>
      <c r="B729" s="478"/>
      <c r="C729" s="474"/>
      <c r="D729" s="475"/>
      <c r="E729" s="476"/>
      <c r="F729" s="476"/>
    </row>
    <row r="730" spans="1:6" s="469" customFormat="1">
      <c r="A730" s="479"/>
      <c r="B730" s="478"/>
      <c r="C730" s="474"/>
      <c r="D730" s="475"/>
      <c r="E730" s="476"/>
      <c r="F730" s="476"/>
    </row>
    <row r="731" spans="1:6" s="469" customFormat="1" ht="27.75" customHeight="1">
      <c r="A731" s="479"/>
      <c r="B731" s="478"/>
      <c r="C731" s="474"/>
      <c r="D731" s="475"/>
      <c r="E731" s="476"/>
      <c r="F731" s="476"/>
    </row>
    <row r="732" spans="1:6" s="469" customFormat="1">
      <c r="A732" s="479"/>
      <c r="B732" s="478"/>
      <c r="C732" s="474"/>
      <c r="D732" s="475"/>
      <c r="E732" s="476"/>
      <c r="F732" s="476"/>
    </row>
    <row r="733" spans="1:6" s="469" customFormat="1">
      <c r="A733" s="479"/>
      <c r="B733" s="478"/>
      <c r="C733" s="474"/>
      <c r="D733" s="475"/>
      <c r="E733" s="476"/>
      <c r="F733" s="476"/>
    </row>
    <row r="734" spans="1:6" s="469" customFormat="1">
      <c r="A734" s="479"/>
      <c r="B734" s="478"/>
      <c r="C734" s="474"/>
      <c r="D734" s="475"/>
      <c r="E734" s="476"/>
      <c r="F734" s="476"/>
    </row>
    <row r="735" spans="1:6" s="469" customFormat="1">
      <c r="A735" s="479"/>
      <c r="B735" s="478"/>
      <c r="C735" s="474"/>
      <c r="D735" s="475"/>
      <c r="E735" s="476"/>
      <c r="F735" s="476"/>
    </row>
    <row r="736" spans="1:6" s="469" customFormat="1">
      <c r="A736" s="479"/>
      <c r="B736" s="478"/>
      <c r="C736" s="474"/>
      <c r="D736" s="475"/>
      <c r="E736" s="476"/>
      <c r="F736" s="476"/>
    </row>
    <row r="737" spans="1:6" s="469" customFormat="1" ht="14.25" customHeight="1">
      <c r="A737" s="479"/>
      <c r="B737" s="478"/>
      <c r="C737" s="474"/>
      <c r="D737" s="475"/>
      <c r="E737" s="476"/>
      <c r="F737" s="476"/>
    </row>
    <row r="738" spans="1:6" s="469" customFormat="1">
      <c r="A738" s="479"/>
      <c r="B738" s="478"/>
      <c r="C738" s="474"/>
      <c r="D738" s="475"/>
      <c r="E738" s="476"/>
      <c r="F738" s="476"/>
    </row>
    <row r="739" spans="1:6" s="469" customFormat="1">
      <c r="A739" s="479"/>
      <c r="B739" s="478"/>
      <c r="C739" s="474"/>
      <c r="D739" s="475"/>
      <c r="E739" s="476"/>
      <c r="F739" s="476"/>
    </row>
    <row r="740" spans="1:6" s="469" customFormat="1">
      <c r="A740" s="479"/>
      <c r="B740" s="478"/>
      <c r="C740" s="474"/>
      <c r="D740" s="475"/>
      <c r="E740" s="476"/>
      <c r="F740" s="476"/>
    </row>
    <row r="741" spans="1:6" s="469" customFormat="1">
      <c r="A741" s="479"/>
      <c r="B741" s="478"/>
      <c r="C741" s="474"/>
      <c r="D741" s="475"/>
      <c r="E741" s="476"/>
      <c r="F741" s="476"/>
    </row>
    <row r="742" spans="1:6" s="469" customFormat="1">
      <c r="A742" s="479"/>
      <c r="B742" s="478"/>
      <c r="C742" s="474"/>
      <c r="D742" s="475"/>
      <c r="E742" s="476"/>
      <c r="F742" s="476"/>
    </row>
    <row r="743" spans="1:6" s="469" customFormat="1">
      <c r="A743" s="479"/>
      <c r="B743" s="478"/>
      <c r="C743" s="474"/>
      <c r="D743" s="475"/>
      <c r="E743" s="476"/>
      <c r="F743" s="476"/>
    </row>
    <row r="744" spans="1:6" s="469" customFormat="1">
      <c r="A744" s="479"/>
      <c r="B744" s="478"/>
      <c r="C744" s="474"/>
      <c r="D744" s="475"/>
      <c r="E744" s="476"/>
      <c r="F744" s="476"/>
    </row>
    <row r="745" spans="1:6" s="469" customFormat="1">
      <c r="A745" s="479"/>
      <c r="B745" s="478"/>
      <c r="C745" s="474"/>
      <c r="D745" s="475"/>
      <c r="E745" s="476"/>
      <c r="F745" s="476"/>
    </row>
    <row r="746" spans="1:6" s="469" customFormat="1" ht="14.25" customHeight="1">
      <c r="A746" s="479"/>
      <c r="B746" s="478"/>
      <c r="C746" s="474"/>
      <c r="D746" s="475"/>
      <c r="E746" s="476"/>
      <c r="F746" s="476"/>
    </row>
    <row r="747" spans="1:6" s="469" customFormat="1">
      <c r="A747" s="479"/>
      <c r="B747" s="478"/>
      <c r="C747" s="474"/>
      <c r="D747" s="475"/>
      <c r="E747" s="476"/>
      <c r="F747" s="476"/>
    </row>
    <row r="748" spans="1:6" s="469" customFormat="1" ht="15" customHeight="1">
      <c r="A748" s="479"/>
      <c r="B748" s="478"/>
      <c r="C748" s="474"/>
      <c r="D748" s="475"/>
      <c r="E748" s="476"/>
      <c r="F748" s="476"/>
    </row>
    <row r="749" spans="1:6" s="469" customFormat="1">
      <c r="A749" s="479"/>
      <c r="B749" s="478"/>
      <c r="C749" s="474"/>
      <c r="D749" s="475"/>
      <c r="E749" s="476"/>
      <c r="F749" s="476"/>
    </row>
    <row r="750" spans="1:6" s="469" customFormat="1">
      <c r="A750" s="479"/>
      <c r="B750" s="478"/>
      <c r="C750" s="474"/>
      <c r="D750" s="475"/>
      <c r="E750" s="476"/>
      <c r="F750" s="476"/>
    </row>
    <row r="751" spans="1:6" s="469" customFormat="1">
      <c r="A751" s="479"/>
      <c r="B751" s="478"/>
      <c r="C751" s="474"/>
      <c r="D751" s="475"/>
      <c r="E751" s="476"/>
      <c r="F751" s="476"/>
    </row>
    <row r="752" spans="1:6" s="469" customFormat="1" ht="14.25" customHeight="1">
      <c r="A752" s="479"/>
      <c r="B752" s="478"/>
      <c r="C752" s="474"/>
      <c r="D752" s="475"/>
      <c r="E752" s="476"/>
      <c r="F752" s="476"/>
    </row>
    <row r="753" spans="1:6" s="469" customFormat="1">
      <c r="A753" s="479"/>
      <c r="B753" s="478"/>
      <c r="C753" s="474"/>
      <c r="D753" s="475"/>
      <c r="E753" s="476"/>
      <c r="F753" s="476"/>
    </row>
    <row r="754" spans="1:6" s="469" customFormat="1">
      <c r="A754" s="479"/>
      <c r="B754" s="478"/>
      <c r="C754" s="474"/>
      <c r="D754" s="475"/>
      <c r="E754" s="476"/>
      <c r="F754" s="476"/>
    </row>
    <row r="755" spans="1:6" s="469" customFormat="1">
      <c r="A755" s="479"/>
      <c r="B755" s="478"/>
      <c r="C755" s="474"/>
      <c r="D755" s="475"/>
      <c r="E755" s="476"/>
      <c r="F755" s="476"/>
    </row>
    <row r="756" spans="1:6" s="469" customFormat="1">
      <c r="A756" s="479"/>
      <c r="B756" s="478"/>
      <c r="C756" s="474"/>
      <c r="D756" s="475"/>
      <c r="E756" s="476"/>
      <c r="F756" s="476"/>
    </row>
    <row r="757" spans="1:6" s="469" customFormat="1">
      <c r="A757" s="479"/>
      <c r="B757" s="478"/>
      <c r="C757" s="474"/>
      <c r="D757" s="475"/>
      <c r="E757" s="476"/>
      <c r="F757" s="476"/>
    </row>
    <row r="758" spans="1:6" s="469" customFormat="1" ht="12" customHeight="1">
      <c r="A758" s="479"/>
      <c r="B758" s="478"/>
      <c r="C758" s="474"/>
      <c r="D758" s="475"/>
      <c r="E758" s="476"/>
      <c r="F758" s="476"/>
    </row>
    <row r="759" spans="1:6" s="469" customFormat="1">
      <c r="A759" s="479"/>
      <c r="B759" s="478"/>
      <c r="C759" s="474"/>
      <c r="D759" s="475"/>
      <c r="E759" s="476"/>
      <c r="F759" s="476"/>
    </row>
    <row r="760" spans="1:6" s="469" customFormat="1" ht="15.75" customHeight="1">
      <c r="A760" s="479"/>
      <c r="B760" s="478"/>
      <c r="C760" s="474"/>
      <c r="D760" s="475"/>
      <c r="E760" s="476"/>
      <c r="F760" s="476"/>
    </row>
    <row r="761" spans="1:6" s="469" customFormat="1">
      <c r="A761" s="479"/>
      <c r="B761" s="478"/>
      <c r="C761" s="474"/>
      <c r="D761" s="475"/>
      <c r="E761" s="476"/>
      <c r="F761" s="476"/>
    </row>
    <row r="762" spans="1:6" s="469" customFormat="1">
      <c r="A762" s="479"/>
      <c r="B762" s="478"/>
      <c r="C762" s="474"/>
      <c r="D762" s="475"/>
      <c r="E762" s="476"/>
      <c r="F762" s="476"/>
    </row>
    <row r="763" spans="1:6" s="469" customFormat="1" ht="14.25" customHeight="1">
      <c r="A763" s="479"/>
      <c r="B763" s="478"/>
      <c r="C763" s="474"/>
      <c r="D763" s="475"/>
      <c r="E763" s="476"/>
      <c r="F763" s="476"/>
    </row>
    <row r="764" spans="1:6" s="469" customFormat="1" ht="27" customHeight="1">
      <c r="A764" s="479"/>
      <c r="B764" s="478"/>
      <c r="C764" s="474"/>
      <c r="D764" s="475"/>
      <c r="E764" s="476"/>
      <c r="F764" s="476"/>
    </row>
    <row r="765" spans="1:6" s="469" customFormat="1" ht="14.25" customHeight="1">
      <c r="A765" s="479"/>
      <c r="B765" s="478"/>
      <c r="C765" s="474"/>
      <c r="D765" s="475"/>
      <c r="E765" s="476"/>
      <c r="F765" s="476"/>
    </row>
    <row r="766" spans="1:6" s="469" customFormat="1" ht="20.25" customHeight="1">
      <c r="A766" s="479"/>
      <c r="B766" s="478"/>
      <c r="C766" s="474"/>
      <c r="D766" s="475"/>
      <c r="E766" s="476"/>
      <c r="F766" s="476"/>
    </row>
    <row r="767" spans="1:6" s="469" customFormat="1" ht="14.25" customHeight="1">
      <c r="A767" s="479"/>
      <c r="B767" s="478"/>
      <c r="C767" s="474"/>
      <c r="D767" s="475"/>
      <c r="E767" s="476"/>
      <c r="F767" s="476"/>
    </row>
    <row r="768" spans="1:6" s="469" customFormat="1">
      <c r="A768" s="479"/>
      <c r="B768" s="478"/>
      <c r="C768" s="474"/>
      <c r="D768" s="475"/>
      <c r="E768" s="476"/>
      <c r="F768" s="476"/>
    </row>
    <row r="769" spans="1:6" s="469" customFormat="1" ht="11.25" customHeight="1">
      <c r="A769" s="479"/>
      <c r="B769" s="478"/>
      <c r="C769" s="474"/>
      <c r="D769" s="475"/>
      <c r="E769" s="476"/>
      <c r="F769" s="476"/>
    </row>
    <row r="770" spans="1:6" s="469" customFormat="1">
      <c r="A770" s="479"/>
      <c r="B770" s="478"/>
      <c r="C770" s="474"/>
      <c r="D770" s="475"/>
      <c r="E770" s="476"/>
      <c r="F770" s="476"/>
    </row>
    <row r="771" spans="1:6" s="469" customFormat="1">
      <c r="A771" s="479"/>
      <c r="B771" s="478"/>
      <c r="C771" s="474"/>
      <c r="D771" s="475"/>
      <c r="E771" s="476"/>
      <c r="F771" s="476"/>
    </row>
    <row r="772" spans="1:6" s="469" customFormat="1">
      <c r="A772" s="479"/>
      <c r="B772" s="478"/>
      <c r="C772" s="474"/>
      <c r="D772" s="475"/>
      <c r="E772" s="476"/>
      <c r="F772" s="476"/>
    </row>
    <row r="773" spans="1:6" s="469" customFormat="1">
      <c r="A773" s="479"/>
      <c r="B773" s="478"/>
      <c r="C773" s="474"/>
      <c r="D773" s="475"/>
      <c r="E773" s="476"/>
      <c r="F773" s="476"/>
    </row>
    <row r="774" spans="1:6" s="469" customFormat="1">
      <c r="A774" s="479"/>
      <c r="B774" s="478"/>
      <c r="C774" s="474"/>
      <c r="D774" s="475"/>
      <c r="E774" s="476"/>
      <c r="F774" s="476"/>
    </row>
    <row r="775" spans="1:6" s="469" customFormat="1">
      <c r="A775" s="479"/>
      <c r="B775" s="478"/>
      <c r="C775" s="474"/>
      <c r="D775" s="475"/>
      <c r="E775" s="476"/>
      <c r="F775" s="476"/>
    </row>
    <row r="776" spans="1:6" s="469" customFormat="1">
      <c r="A776" s="479"/>
      <c r="B776" s="478"/>
      <c r="C776" s="474"/>
      <c r="D776" s="475"/>
      <c r="E776" s="476"/>
      <c r="F776" s="476"/>
    </row>
    <row r="777" spans="1:6" s="469" customFormat="1">
      <c r="A777" s="479"/>
      <c r="B777" s="478"/>
      <c r="C777" s="474"/>
      <c r="D777" s="475"/>
      <c r="E777" s="476"/>
      <c r="F777" s="476"/>
    </row>
    <row r="778" spans="1:6" s="469" customFormat="1">
      <c r="A778" s="479"/>
      <c r="B778" s="478"/>
      <c r="C778" s="474"/>
      <c r="D778" s="475"/>
      <c r="E778" s="476"/>
      <c r="F778" s="476"/>
    </row>
    <row r="779" spans="1:6" s="469" customFormat="1">
      <c r="A779" s="479"/>
      <c r="B779" s="478"/>
      <c r="C779" s="474"/>
      <c r="D779" s="475"/>
      <c r="E779" s="476"/>
      <c r="F779" s="476"/>
    </row>
    <row r="780" spans="1:6" s="469" customFormat="1">
      <c r="A780" s="479"/>
      <c r="B780" s="478"/>
      <c r="C780" s="474"/>
      <c r="D780" s="475"/>
      <c r="E780" s="476"/>
      <c r="F780" s="476"/>
    </row>
    <row r="781" spans="1:6" s="469" customFormat="1">
      <c r="A781" s="479"/>
      <c r="B781" s="478"/>
      <c r="C781" s="474"/>
      <c r="D781" s="475"/>
      <c r="E781" s="476"/>
      <c r="F781" s="476"/>
    </row>
    <row r="782" spans="1:6" s="469" customFormat="1">
      <c r="A782" s="479"/>
      <c r="B782" s="478"/>
      <c r="C782" s="474"/>
      <c r="D782" s="475"/>
      <c r="E782" s="476"/>
      <c r="F782" s="476"/>
    </row>
    <row r="783" spans="1:6" s="469" customFormat="1">
      <c r="A783" s="479"/>
      <c r="B783" s="478"/>
      <c r="C783" s="474"/>
      <c r="D783" s="475"/>
      <c r="E783" s="476"/>
      <c r="F783" s="476"/>
    </row>
    <row r="784" spans="1:6" s="469" customFormat="1">
      <c r="A784" s="479"/>
      <c r="B784" s="478"/>
      <c r="C784" s="474"/>
      <c r="D784" s="475"/>
      <c r="E784" s="476"/>
      <c r="F784" s="476"/>
    </row>
    <row r="785" spans="1:6" s="469" customFormat="1">
      <c r="A785" s="479"/>
      <c r="B785" s="478"/>
      <c r="C785" s="474"/>
      <c r="D785" s="475"/>
      <c r="E785" s="476"/>
      <c r="F785" s="476"/>
    </row>
    <row r="786" spans="1:6" s="469" customFormat="1">
      <c r="A786" s="479"/>
      <c r="B786" s="478"/>
      <c r="C786" s="474"/>
      <c r="D786" s="475"/>
      <c r="E786" s="476"/>
      <c r="F786" s="476"/>
    </row>
    <row r="787" spans="1:6" s="469" customFormat="1">
      <c r="A787" s="479"/>
      <c r="B787" s="478"/>
      <c r="C787" s="474"/>
      <c r="D787" s="475"/>
      <c r="E787" s="476"/>
      <c r="F787" s="476"/>
    </row>
    <row r="788" spans="1:6" s="469" customFormat="1">
      <c r="A788" s="479"/>
      <c r="B788" s="478"/>
      <c r="C788" s="474"/>
      <c r="D788" s="475"/>
      <c r="E788" s="476"/>
      <c r="F788" s="476"/>
    </row>
    <row r="789" spans="1:6" s="469" customFormat="1">
      <c r="A789" s="479"/>
      <c r="B789" s="478"/>
      <c r="C789" s="474"/>
      <c r="D789" s="475"/>
      <c r="E789" s="476"/>
      <c r="F789" s="476"/>
    </row>
    <row r="796" spans="1:6" s="469" customFormat="1" ht="13.5" customHeight="1">
      <c r="A796" s="479"/>
      <c r="B796" s="478"/>
      <c r="C796" s="474"/>
      <c r="D796" s="475"/>
      <c r="E796" s="476"/>
      <c r="F796" s="476"/>
    </row>
    <row r="797" spans="1:6" s="469" customFormat="1" ht="13.5" customHeight="1">
      <c r="A797" s="479"/>
      <c r="B797" s="478"/>
      <c r="C797" s="474"/>
      <c r="D797" s="475"/>
      <c r="E797" s="476"/>
      <c r="F797" s="476"/>
    </row>
    <row r="798" spans="1:6" s="469" customFormat="1" ht="14.25" customHeight="1">
      <c r="A798" s="479"/>
      <c r="B798" s="478"/>
      <c r="C798" s="474"/>
      <c r="D798" s="475"/>
      <c r="E798" s="476"/>
      <c r="F798" s="476"/>
    </row>
    <row r="799" spans="1:6" s="469" customFormat="1" ht="12" customHeight="1">
      <c r="A799" s="479"/>
      <c r="B799" s="478"/>
      <c r="C799" s="474"/>
      <c r="D799" s="475"/>
      <c r="E799" s="476"/>
      <c r="F799" s="476"/>
    </row>
    <row r="800" spans="1:6" s="469" customFormat="1" ht="11.25" customHeight="1">
      <c r="A800" s="479"/>
      <c r="B800" s="478"/>
      <c r="C800" s="474"/>
      <c r="D800" s="475"/>
      <c r="E800" s="476"/>
      <c r="F800" s="476"/>
    </row>
    <row r="801" spans="1:6" s="469" customFormat="1">
      <c r="A801" s="479"/>
      <c r="B801" s="478"/>
      <c r="C801" s="474"/>
      <c r="D801" s="475"/>
      <c r="E801" s="476"/>
      <c r="F801" s="476"/>
    </row>
    <row r="802" spans="1:6" s="469" customFormat="1">
      <c r="A802" s="479"/>
      <c r="B802" s="478"/>
      <c r="C802" s="474"/>
      <c r="D802" s="475"/>
      <c r="E802" s="476"/>
      <c r="F802" s="476"/>
    </row>
    <row r="803" spans="1:6" s="469" customFormat="1" ht="12" customHeight="1">
      <c r="A803" s="479"/>
      <c r="B803" s="478"/>
      <c r="C803" s="474"/>
      <c r="D803" s="475"/>
      <c r="E803" s="476"/>
      <c r="F803" s="476"/>
    </row>
    <row r="804" spans="1:6" s="469" customFormat="1">
      <c r="A804" s="479"/>
      <c r="B804" s="478"/>
      <c r="C804" s="474"/>
      <c r="D804" s="475"/>
      <c r="E804" s="476"/>
      <c r="F804" s="476"/>
    </row>
    <row r="805" spans="1:6" s="469" customFormat="1" ht="15" customHeight="1">
      <c r="A805" s="479"/>
      <c r="B805" s="478"/>
      <c r="C805" s="474"/>
      <c r="D805" s="475"/>
      <c r="E805" s="476"/>
      <c r="F805" s="476"/>
    </row>
    <row r="806" spans="1:6" s="469" customFormat="1" ht="12" customHeight="1">
      <c r="A806" s="479"/>
      <c r="B806" s="478"/>
      <c r="C806" s="474"/>
      <c r="D806" s="475"/>
      <c r="E806" s="476"/>
      <c r="F806" s="476"/>
    </row>
    <row r="807" spans="1:6" s="469" customFormat="1">
      <c r="A807" s="479"/>
      <c r="B807" s="478"/>
      <c r="C807" s="474"/>
      <c r="D807" s="475"/>
      <c r="E807" s="476"/>
      <c r="F807" s="476"/>
    </row>
    <row r="808" spans="1:6" s="469" customFormat="1">
      <c r="A808" s="479"/>
      <c r="B808" s="478"/>
      <c r="C808" s="474"/>
      <c r="D808" s="475"/>
      <c r="E808" s="476"/>
      <c r="F808" s="476"/>
    </row>
    <row r="809" spans="1:6" s="469" customFormat="1" ht="12" customHeight="1">
      <c r="A809" s="479"/>
      <c r="B809" s="478"/>
      <c r="C809" s="474"/>
      <c r="D809" s="475"/>
      <c r="E809" s="476"/>
      <c r="F809" s="476"/>
    </row>
    <row r="810" spans="1:6" s="469" customFormat="1">
      <c r="A810" s="479"/>
      <c r="B810" s="478"/>
      <c r="C810" s="474"/>
      <c r="D810" s="475"/>
      <c r="E810" s="476"/>
      <c r="F810" s="476"/>
    </row>
    <row r="811" spans="1:6" s="469" customFormat="1">
      <c r="A811" s="479"/>
      <c r="B811" s="478"/>
      <c r="C811" s="474"/>
      <c r="D811" s="475"/>
      <c r="E811" s="476"/>
      <c r="F811" s="476"/>
    </row>
    <row r="812" spans="1:6" s="469" customFormat="1">
      <c r="A812" s="479"/>
      <c r="B812" s="478"/>
      <c r="C812" s="474"/>
      <c r="D812" s="475"/>
      <c r="E812" s="476"/>
      <c r="F812" s="476"/>
    </row>
    <row r="813" spans="1:6" s="469" customFormat="1" ht="12" customHeight="1">
      <c r="A813" s="479"/>
      <c r="B813" s="478"/>
      <c r="C813" s="474"/>
      <c r="D813" s="475"/>
      <c r="E813" s="476"/>
      <c r="F813" s="476"/>
    </row>
    <row r="814" spans="1:6" s="469" customFormat="1">
      <c r="A814" s="479"/>
      <c r="B814" s="478"/>
      <c r="C814" s="474"/>
      <c r="D814" s="475"/>
      <c r="E814" s="476"/>
      <c r="F814" s="476"/>
    </row>
    <row r="815" spans="1:6" s="469" customFormat="1">
      <c r="A815" s="479"/>
      <c r="B815" s="478"/>
      <c r="C815" s="474"/>
      <c r="D815" s="475"/>
      <c r="E815" s="476"/>
      <c r="F815" s="476"/>
    </row>
    <row r="816" spans="1:6" s="469" customFormat="1">
      <c r="A816" s="479"/>
      <c r="B816" s="478"/>
      <c r="C816" s="474"/>
      <c r="D816" s="475"/>
      <c r="E816" s="476"/>
      <c r="F816" s="476"/>
    </row>
    <row r="817" spans="1:6" s="469" customFormat="1" ht="14.25" customHeight="1">
      <c r="A817" s="479"/>
      <c r="B817" s="478"/>
      <c r="C817" s="474"/>
      <c r="D817" s="475"/>
      <c r="E817" s="476"/>
      <c r="F817" s="476"/>
    </row>
    <row r="818" spans="1:6" s="469" customFormat="1" ht="14.25" customHeight="1">
      <c r="A818" s="479"/>
      <c r="B818" s="478"/>
      <c r="C818" s="474"/>
      <c r="D818" s="475"/>
      <c r="E818" s="476"/>
      <c r="F818" s="476"/>
    </row>
    <row r="819" spans="1:6" s="469" customFormat="1" ht="14.25" customHeight="1">
      <c r="A819" s="479"/>
      <c r="B819" s="478"/>
      <c r="C819" s="474"/>
      <c r="D819" s="475"/>
      <c r="E819" s="476"/>
      <c r="F819" s="476"/>
    </row>
    <row r="820" spans="1:6" s="469" customFormat="1">
      <c r="A820" s="479"/>
      <c r="B820" s="478"/>
      <c r="C820" s="474"/>
      <c r="D820" s="475"/>
      <c r="E820" s="476"/>
      <c r="F820" s="476"/>
    </row>
    <row r="821" spans="1:6" s="469" customFormat="1">
      <c r="A821" s="479"/>
      <c r="B821" s="478"/>
      <c r="C821" s="474"/>
      <c r="D821" s="475"/>
      <c r="E821" s="476"/>
      <c r="F821" s="476"/>
    </row>
    <row r="822" spans="1:6" s="469" customFormat="1">
      <c r="A822" s="479"/>
      <c r="B822" s="478"/>
      <c r="C822" s="474"/>
      <c r="D822" s="475"/>
      <c r="E822" s="476"/>
      <c r="F822" s="476"/>
    </row>
    <row r="823" spans="1:6" s="469" customFormat="1" ht="14.25" customHeight="1">
      <c r="A823" s="479"/>
      <c r="B823" s="478"/>
      <c r="C823" s="474"/>
      <c r="D823" s="475"/>
      <c r="E823" s="476"/>
      <c r="F823" s="476"/>
    </row>
    <row r="824" spans="1:6" s="485" customFormat="1">
      <c r="A824" s="479"/>
      <c r="B824" s="478"/>
      <c r="C824" s="474"/>
      <c r="D824" s="475"/>
      <c r="E824" s="476"/>
      <c r="F824" s="476"/>
    </row>
    <row r="825" spans="1:6" s="485" customFormat="1" ht="14.25" customHeight="1">
      <c r="A825" s="479"/>
      <c r="B825" s="478"/>
      <c r="C825" s="474"/>
      <c r="D825" s="475"/>
      <c r="E825" s="476"/>
      <c r="F825" s="476"/>
    </row>
    <row r="826" spans="1:6" s="485" customFormat="1">
      <c r="A826" s="479"/>
      <c r="B826" s="478"/>
      <c r="C826" s="474"/>
      <c r="D826" s="475"/>
      <c r="E826" s="476"/>
      <c r="F826" s="476"/>
    </row>
    <row r="827" spans="1:6" s="469" customFormat="1">
      <c r="A827" s="479"/>
      <c r="B827" s="478"/>
      <c r="C827" s="474"/>
      <c r="D827" s="475"/>
      <c r="E827" s="476"/>
      <c r="F827" s="476"/>
    </row>
    <row r="828" spans="1:6" s="469" customFormat="1" ht="15.75" customHeight="1">
      <c r="A828" s="479"/>
      <c r="B828" s="478"/>
      <c r="C828" s="474"/>
      <c r="D828" s="475"/>
      <c r="E828" s="476"/>
      <c r="F828" s="476"/>
    </row>
    <row r="829" spans="1:6" s="469" customFormat="1" ht="14.25" customHeight="1">
      <c r="A829" s="479"/>
      <c r="B829" s="478"/>
      <c r="C829" s="474"/>
      <c r="D829" s="475"/>
      <c r="E829" s="476"/>
      <c r="F829" s="476"/>
    </row>
    <row r="830" spans="1:6" s="469" customFormat="1" ht="14.25" customHeight="1">
      <c r="A830" s="479"/>
      <c r="B830" s="478"/>
      <c r="C830" s="474"/>
      <c r="D830" s="475"/>
      <c r="E830" s="476"/>
      <c r="F830" s="476"/>
    </row>
    <row r="831" spans="1:6" s="469" customFormat="1" ht="14.25" customHeight="1">
      <c r="A831" s="479"/>
      <c r="B831" s="478"/>
      <c r="C831" s="474"/>
      <c r="D831" s="475"/>
      <c r="E831" s="476"/>
      <c r="F831" s="476"/>
    </row>
    <row r="832" spans="1:6" s="469" customFormat="1" ht="14.25" customHeight="1">
      <c r="A832" s="479"/>
      <c r="B832" s="478"/>
      <c r="C832" s="474"/>
      <c r="D832" s="475"/>
      <c r="E832" s="476"/>
      <c r="F832" s="476"/>
    </row>
    <row r="833" spans="1:6" s="469" customFormat="1" ht="14.25" customHeight="1">
      <c r="A833" s="479"/>
      <c r="B833" s="478"/>
      <c r="C833" s="474"/>
      <c r="D833" s="475"/>
      <c r="E833" s="476"/>
      <c r="F833" s="476"/>
    </row>
    <row r="834" spans="1:6" s="469" customFormat="1" ht="14.25" customHeight="1">
      <c r="A834" s="479"/>
      <c r="B834" s="478"/>
      <c r="C834" s="474"/>
      <c r="D834" s="475"/>
      <c r="E834" s="476"/>
      <c r="F834" s="476"/>
    </row>
    <row r="835" spans="1:6" s="469" customFormat="1" ht="14.25" customHeight="1">
      <c r="A835" s="479"/>
      <c r="B835" s="478"/>
      <c r="C835" s="474"/>
      <c r="D835" s="475"/>
      <c r="E835" s="476"/>
      <c r="F835" s="476"/>
    </row>
    <row r="836" spans="1:6" s="469" customFormat="1" ht="14.25" customHeight="1">
      <c r="A836" s="479"/>
      <c r="B836" s="478"/>
      <c r="C836" s="474"/>
      <c r="D836" s="475"/>
      <c r="E836" s="476"/>
      <c r="F836" s="476"/>
    </row>
    <row r="837" spans="1:6" s="469" customFormat="1" ht="14.25" customHeight="1">
      <c r="A837" s="479"/>
      <c r="B837" s="478"/>
      <c r="C837" s="474"/>
      <c r="D837" s="475"/>
      <c r="E837" s="476"/>
      <c r="F837" s="476"/>
    </row>
    <row r="838" spans="1:6" s="469" customFormat="1" ht="14.25" customHeight="1">
      <c r="A838" s="479"/>
      <c r="B838" s="478"/>
      <c r="C838" s="474"/>
      <c r="D838" s="475"/>
      <c r="E838" s="476"/>
      <c r="F838" s="476"/>
    </row>
    <row r="839" spans="1:6" s="486" customFormat="1" ht="15.75" customHeight="1">
      <c r="A839" s="479"/>
      <c r="B839" s="478"/>
      <c r="C839" s="474"/>
      <c r="D839" s="475"/>
      <c r="E839" s="476"/>
      <c r="F839" s="476"/>
    </row>
    <row r="840" spans="1:6" s="486" customFormat="1" ht="12.75" customHeight="1">
      <c r="A840" s="479"/>
      <c r="B840" s="478"/>
      <c r="C840" s="474"/>
      <c r="D840" s="475"/>
      <c r="E840" s="476"/>
      <c r="F840" s="476"/>
    </row>
    <row r="841" spans="1:6" s="486" customFormat="1" ht="12.75" customHeight="1">
      <c r="A841" s="479"/>
      <c r="B841" s="478"/>
      <c r="C841" s="474"/>
      <c r="D841" s="475"/>
      <c r="E841" s="476"/>
      <c r="F841" s="476"/>
    </row>
    <row r="842" spans="1:6" s="486" customFormat="1" ht="12.75" customHeight="1">
      <c r="A842" s="479"/>
      <c r="B842" s="478"/>
      <c r="C842" s="474"/>
      <c r="D842" s="475"/>
      <c r="E842" s="476"/>
      <c r="F842" s="476"/>
    </row>
    <row r="843" spans="1:6" s="486" customFormat="1" ht="12.75" customHeight="1">
      <c r="A843" s="479"/>
      <c r="B843" s="478"/>
      <c r="C843" s="474"/>
      <c r="D843" s="475"/>
      <c r="E843" s="476"/>
      <c r="F843" s="476"/>
    </row>
    <row r="844" spans="1:6" s="486" customFormat="1" ht="12.75" customHeight="1">
      <c r="A844" s="479"/>
      <c r="B844" s="478"/>
      <c r="C844" s="474"/>
      <c r="D844" s="475"/>
      <c r="E844" s="476"/>
      <c r="F844" s="476"/>
    </row>
    <row r="846" spans="1:6" s="486" customFormat="1" ht="18" customHeight="1">
      <c r="A846" s="479"/>
      <c r="B846" s="478"/>
      <c r="C846" s="474"/>
      <c r="D846" s="475"/>
      <c r="E846" s="476"/>
      <c r="F846" s="476"/>
    </row>
    <row r="847" spans="1:6" s="486" customFormat="1" ht="12.75" customHeight="1">
      <c r="A847" s="479"/>
      <c r="B847" s="478"/>
      <c r="C847" s="474"/>
      <c r="D847" s="475"/>
      <c r="E847" s="476"/>
      <c r="F847" s="476"/>
    </row>
    <row r="848" spans="1:6" s="486" customFormat="1" ht="12.75" customHeight="1">
      <c r="A848" s="479"/>
      <c r="B848" s="478"/>
      <c r="C848" s="474"/>
      <c r="D848" s="475"/>
      <c r="E848" s="476"/>
      <c r="F848" s="476"/>
    </row>
    <row r="849" spans="1:6" s="486" customFormat="1" ht="12.75" customHeight="1">
      <c r="A849" s="479"/>
      <c r="B849" s="478"/>
      <c r="C849" s="474"/>
      <c r="D849" s="475"/>
      <c r="E849" s="476"/>
      <c r="F849" s="476"/>
    </row>
    <row r="850" spans="1:6" s="486" customFormat="1" ht="12.75" customHeight="1">
      <c r="A850" s="479"/>
      <c r="B850" s="478"/>
      <c r="C850" s="474"/>
      <c r="D850" s="475"/>
      <c r="E850" s="476"/>
      <c r="F850" s="476"/>
    </row>
    <row r="851" spans="1:6" s="486" customFormat="1" ht="12.75" customHeight="1">
      <c r="A851" s="479"/>
      <c r="B851" s="478"/>
      <c r="C851" s="474"/>
      <c r="D851" s="475"/>
      <c r="E851" s="476"/>
      <c r="F851" s="476"/>
    </row>
    <row r="852" spans="1:6" s="486" customFormat="1" ht="14.25" customHeight="1">
      <c r="A852" s="479"/>
      <c r="B852" s="478"/>
      <c r="C852" s="474"/>
      <c r="D852" s="475"/>
      <c r="E852" s="476"/>
      <c r="F852" s="476"/>
    </row>
    <row r="853" spans="1:6" s="486" customFormat="1" ht="12.75" customHeight="1">
      <c r="A853" s="479"/>
      <c r="B853" s="478"/>
      <c r="C853" s="474"/>
      <c r="D853" s="475"/>
      <c r="E853" s="476"/>
      <c r="F853" s="476"/>
    </row>
    <row r="854" spans="1:6" s="486" customFormat="1" ht="12.75" customHeight="1">
      <c r="A854" s="479"/>
      <c r="B854" s="478"/>
      <c r="C854" s="474"/>
      <c r="D854" s="475"/>
      <c r="E854" s="476"/>
      <c r="F854" s="476"/>
    </row>
    <row r="855" spans="1:6" s="486" customFormat="1" ht="12.75" customHeight="1">
      <c r="A855" s="479"/>
      <c r="B855" s="478"/>
      <c r="C855" s="474"/>
      <c r="D855" s="475"/>
      <c r="E855" s="476"/>
      <c r="F855" s="476"/>
    </row>
    <row r="856" spans="1:6" s="486" customFormat="1" ht="12.75" customHeight="1">
      <c r="A856" s="479"/>
      <c r="B856" s="478"/>
      <c r="C856" s="474"/>
      <c r="D856" s="475"/>
      <c r="E856" s="476"/>
      <c r="F856" s="476"/>
    </row>
    <row r="857" spans="1:6" s="486" customFormat="1" ht="12.75" customHeight="1">
      <c r="A857" s="479"/>
      <c r="B857" s="478"/>
      <c r="C857" s="474"/>
      <c r="D857" s="475"/>
      <c r="E857" s="476"/>
      <c r="F857" s="476"/>
    </row>
    <row r="858" spans="1:6" s="486" customFormat="1" ht="12.75" customHeight="1">
      <c r="A858" s="479"/>
      <c r="B858" s="478"/>
      <c r="C858" s="474"/>
      <c r="D858" s="475"/>
      <c r="E858" s="476"/>
      <c r="F858" s="476"/>
    </row>
  </sheetData>
  <sheetProtection selectLockedCells="1"/>
  <mergeCells count="1">
    <mergeCell ref="A550:B550"/>
  </mergeCells>
  <conditionalFormatting sqref="F547">
    <cfRule type="cellIs" dxfId="0" priority="3" stopIfTrue="1" operator="equal">
      <formula>0</formula>
    </cfRule>
  </conditionalFormatting>
  <pageMargins left="0.70866141732283472" right="0.27559055118110237" top="0.77656250000000004" bottom="0.94488188976377963" header="0.31496062992125984" footer="0.23622047244094491"/>
  <pageSetup paperSize="9" scale="71"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oddFooter>&amp;L
 Investitor: POŽEŠKO-SLAVONSKA ŽUPANIJA, Požega              
 Glavni projektant: Kristina Vujica, dipl.ing.arh.
 Projektant: Denis Peruzović, dipl.ing.str.&amp;RZOP: 03/22-F1
prosinac 2023.god. 
str. &amp;P</oddFooter>
  </headerFooter>
</worksheet>
</file>

<file path=xl/worksheets/sheet3.xml><?xml version="1.0" encoding="utf-8"?>
<worksheet xmlns="http://schemas.openxmlformats.org/spreadsheetml/2006/main" xmlns:r="http://schemas.openxmlformats.org/officeDocument/2006/relationships">
  <sheetPr>
    <tabColor rgb="FFFF0000"/>
  </sheetPr>
  <dimension ref="A1:F148"/>
  <sheetViews>
    <sheetView tabSelected="1" view="pageBreakPreview" zoomScale="85" zoomScaleNormal="85" zoomScaleSheetLayoutView="85" workbookViewId="0">
      <selection activeCell="F2" sqref="F2"/>
    </sheetView>
  </sheetViews>
  <sheetFormatPr defaultColWidth="8.85546875" defaultRowHeight="15"/>
  <cols>
    <col min="1" max="1" width="8.7109375" style="9" customWidth="1"/>
    <col min="2" max="2" width="40.7109375" style="6" customWidth="1"/>
    <col min="3" max="3" width="7.7109375" style="12" customWidth="1"/>
    <col min="4" max="4" width="8.7109375" style="12" customWidth="1"/>
    <col min="5" max="5" width="13.7109375" style="12" customWidth="1"/>
    <col min="6" max="6" width="16.7109375" style="12" customWidth="1"/>
    <col min="7" max="16384" width="8.85546875" style="12"/>
  </cols>
  <sheetData>
    <row r="1" spans="1:6" ht="30">
      <c r="A1" s="43"/>
      <c r="B1" s="5" t="s">
        <v>273</v>
      </c>
      <c r="E1" s="10"/>
      <c r="F1" s="11"/>
    </row>
    <row r="2" spans="1:6">
      <c r="A2" s="44"/>
      <c r="B2" s="13"/>
      <c r="E2" s="10"/>
      <c r="F2" s="11"/>
    </row>
    <row r="3" spans="1:6" s="65" customFormat="1">
      <c r="A3" s="43"/>
      <c r="B3" s="47"/>
      <c r="C3" s="15"/>
      <c r="D3" s="14"/>
      <c r="E3" s="14"/>
      <c r="F3" s="14"/>
    </row>
    <row r="4" spans="1:6" s="227" customFormat="1" ht="60">
      <c r="B4" s="21" t="s">
        <v>1723</v>
      </c>
      <c r="C4" s="228"/>
      <c r="D4" s="229"/>
      <c r="E4" s="230"/>
      <c r="F4" s="229"/>
    </row>
    <row r="5" spans="1:6" s="227" customFormat="1" ht="135">
      <c r="B5" s="21" t="s">
        <v>819</v>
      </c>
      <c r="C5" s="228"/>
      <c r="D5" s="229"/>
      <c r="E5" s="230"/>
      <c r="F5" s="229"/>
    </row>
    <row r="6" spans="1:6" s="65" customFormat="1">
      <c r="A6" s="43"/>
      <c r="B6" s="47"/>
      <c r="C6" s="15"/>
      <c r="D6" s="14"/>
      <c r="E6" s="14"/>
      <c r="F6" s="14"/>
    </row>
    <row r="7" spans="1:6" s="65" customFormat="1">
      <c r="A7" s="43"/>
      <c r="B7" s="21"/>
      <c r="C7" s="15"/>
      <c r="D7" s="14"/>
      <c r="E7" s="14"/>
      <c r="F7" s="14"/>
    </row>
    <row r="8" spans="1:6" s="65" customFormat="1">
      <c r="A8" s="43"/>
      <c r="B8" s="47"/>
      <c r="C8" s="15"/>
      <c r="D8" s="14"/>
      <c r="E8" s="14"/>
      <c r="F8" s="14"/>
    </row>
    <row r="9" spans="1:6" s="65" customFormat="1">
      <c r="A9" s="44"/>
      <c r="B9" s="48"/>
      <c r="C9" s="15"/>
      <c r="D9" s="14"/>
      <c r="E9" s="14"/>
      <c r="F9" s="14"/>
    </row>
    <row r="10" spans="1:6" s="65" customFormat="1">
      <c r="A10" s="46"/>
      <c r="B10" s="47"/>
      <c r="C10" s="15"/>
      <c r="D10" s="14"/>
      <c r="E10" s="14"/>
      <c r="F10" s="14"/>
    </row>
    <row r="11" spans="1:6" s="65" customFormat="1">
      <c r="A11" s="46"/>
      <c r="B11" s="47"/>
      <c r="C11" s="15"/>
      <c r="D11" s="14"/>
      <c r="E11" s="14"/>
      <c r="F11" s="14"/>
    </row>
    <row r="12" spans="1:6" s="65" customFormat="1">
      <c r="A12" s="46"/>
      <c r="B12" s="47"/>
      <c r="C12" s="15"/>
      <c r="D12" s="14"/>
      <c r="E12" s="14"/>
      <c r="F12" s="14"/>
    </row>
    <row r="13" spans="1:6" s="65" customFormat="1">
      <c r="A13" s="46"/>
      <c r="B13" s="49"/>
      <c r="C13" s="19"/>
      <c r="D13" s="20"/>
      <c r="E13" s="20"/>
      <c r="F13" s="20"/>
    </row>
    <row r="14" spans="1:6" s="65" customFormat="1">
      <c r="A14" s="44"/>
      <c r="B14" s="47"/>
      <c r="C14" s="19"/>
      <c r="D14" s="20"/>
      <c r="E14" s="20"/>
      <c r="F14" s="20"/>
    </row>
    <row r="15" spans="1:6" s="65" customFormat="1">
      <c r="A15" s="46"/>
      <c r="B15" s="47"/>
      <c r="C15" s="19"/>
      <c r="D15" s="20"/>
      <c r="E15" s="20"/>
      <c r="F15" s="20"/>
    </row>
    <row r="16" spans="1:6" s="65" customFormat="1">
      <c r="A16" s="46"/>
      <c r="B16" s="47"/>
      <c r="C16" s="15"/>
      <c r="D16" s="14"/>
      <c r="E16" s="14"/>
      <c r="F16" s="14"/>
    </row>
    <row r="17" spans="1:6" s="65" customFormat="1">
      <c r="A17" s="46"/>
      <c r="B17" s="49"/>
      <c r="C17" s="19"/>
      <c r="D17" s="20"/>
      <c r="E17" s="20"/>
      <c r="F17" s="20"/>
    </row>
    <row r="18" spans="1:6" s="65" customFormat="1">
      <c r="A18" s="44"/>
      <c r="B18" s="47"/>
      <c r="C18" s="19"/>
      <c r="D18" s="20"/>
      <c r="E18" s="20"/>
      <c r="F18" s="20"/>
    </row>
    <row r="19" spans="1:6" s="65" customFormat="1">
      <c r="A19" s="46"/>
      <c r="B19" s="47"/>
      <c r="C19" s="15"/>
      <c r="D19" s="14"/>
      <c r="E19" s="14"/>
      <c r="F19" s="14"/>
    </row>
    <row r="20" spans="1:6" s="65" customFormat="1">
      <c r="A20" s="46"/>
      <c r="B20" s="49"/>
      <c r="C20" s="19"/>
      <c r="D20" s="20"/>
      <c r="E20" s="20"/>
      <c r="F20" s="20"/>
    </row>
    <row r="21" spans="1:6" s="65" customFormat="1">
      <c r="A21" s="44"/>
      <c r="B21" s="47"/>
      <c r="C21" s="19"/>
      <c r="D21" s="20"/>
      <c r="E21" s="20"/>
      <c r="F21" s="20"/>
    </row>
    <row r="22" spans="1:6" s="65" customFormat="1">
      <c r="A22" s="46"/>
      <c r="B22" s="47"/>
      <c r="C22" s="15"/>
      <c r="D22" s="14"/>
      <c r="E22" s="14"/>
      <c r="F22" s="14"/>
    </row>
    <row r="23" spans="1:6" s="65" customFormat="1">
      <c r="A23" s="46"/>
      <c r="B23" s="47"/>
      <c r="C23" s="15"/>
      <c r="D23" s="14"/>
      <c r="E23" s="14"/>
      <c r="F23" s="14"/>
    </row>
    <row r="24" spans="1:6" s="65" customFormat="1">
      <c r="A24" s="44"/>
      <c r="B24" s="47"/>
      <c r="C24" s="19"/>
      <c r="D24" s="20"/>
      <c r="E24" s="20"/>
      <c r="F24" s="20"/>
    </row>
    <row r="25" spans="1:6" s="65" customFormat="1">
      <c r="A25" s="46"/>
      <c r="B25" s="47"/>
      <c r="C25" s="19"/>
      <c r="D25" s="20"/>
      <c r="E25" s="20"/>
      <c r="F25" s="20"/>
    </row>
    <row r="26" spans="1:6" s="65" customFormat="1">
      <c r="A26" s="46"/>
      <c r="B26" s="47"/>
      <c r="C26" s="19"/>
      <c r="D26" s="20"/>
      <c r="E26" s="20"/>
      <c r="F26" s="20"/>
    </row>
    <row r="27" spans="1:6" s="65" customFormat="1">
      <c r="A27" s="46"/>
      <c r="B27" s="47"/>
      <c r="C27" s="15"/>
      <c r="D27" s="14"/>
      <c r="E27" s="14"/>
      <c r="F27" s="14"/>
    </row>
    <row r="28" spans="1:6" s="65" customFormat="1">
      <c r="A28" s="46"/>
      <c r="B28" s="47"/>
      <c r="C28" s="15"/>
      <c r="D28" s="14"/>
      <c r="E28" s="14"/>
      <c r="F28" s="14"/>
    </row>
    <row r="29" spans="1:6" s="65" customFormat="1">
      <c r="A29" s="46"/>
      <c r="B29" s="47"/>
      <c r="C29" s="15"/>
      <c r="D29" s="14"/>
      <c r="E29" s="14"/>
      <c r="F29" s="14"/>
    </row>
    <row r="30" spans="1:6" s="65" customFormat="1">
      <c r="A30" s="46"/>
      <c r="B30" s="47"/>
      <c r="C30" s="15"/>
      <c r="D30" s="14"/>
      <c r="E30" s="14"/>
      <c r="F30" s="14"/>
    </row>
    <row r="31" spans="1:6" s="65" customFormat="1">
      <c r="A31" s="44"/>
      <c r="B31" s="47"/>
      <c r="C31" s="19"/>
      <c r="D31" s="20"/>
      <c r="E31" s="20"/>
      <c r="F31" s="20"/>
    </row>
    <row r="32" spans="1:6" s="65" customFormat="1">
      <c r="A32" s="46"/>
      <c r="B32" s="47"/>
      <c r="C32" s="19"/>
      <c r="D32" s="20"/>
      <c r="E32" s="20"/>
      <c r="F32" s="20"/>
    </row>
    <row r="33" spans="1:6" s="65" customFormat="1">
      <c r="A33" s="46"/>
      <c r="B33" s="47"/>
      <c r="C33" s="19"/>
      <c r="D33" s="20"/>
      <c r="E33" s="20"/>
      <c r="F33" s="20"/>
    </row>
    <row r="34" spans="1:6" s="65" customFormat="1">
      <c r="A34" s="46"/>
      <c r="B34" s="47"/>
      <c r="C34" s="15"/>
      <c r="D34" s="14"/>
      <c r="E34" s="14"/>
      <c r="F34" s="14"/>
    </row>
    <row r="35" spans="1:6" s="65" customFormat="1">
      <c r="A35" s="46"/>
      <c r="B35" s="47"/>
      <c r="C35" s="15"/>
      <c r="D35" s="14"/>
      <c r="E35" s="14"/>
      <c r="F35" s="14"/>
    </row>
    <row r="36" spans="1:6" s="65" customFormat="1">
      <c r="A36" s="46"/>
      <c r="B36" s="47"/>
      <c r="C36" s="15"/>
      <c r="D36" s="14"/>
      <c r="E36" s="14"/>
      <c r="F36" s="14"/>
    </row>
    <row r="37" spans="1:6">
      <c r="A37" s="44"/>
      <c r="B37" s="13"/>
      <c r="E37" s="10"/>
      <c r="F37" s="11"/>
    </row>
    <row r="38" spans="1:6">
      <c r="A38" s="44"/>
      <c r="B38" s="13"/>
      <c r="E38" s="10"/>
      <c r="F38" s="11"/>
    </row>
    <row r="39" spans="1:6">
      <c r="A39" s="44"/>
      <c r="B39" s="13"/>
      <c r="E39" s="10"/>
      <c r="F39" s="11"/>
    </row>
    <row r="40" spans="1:6">
      <c r="A40" s="43"/>
      <c r="B40" s="16"/>
      <c r="E40" s="10"/>
      <c r="F40" s="11"/>
    </row>
    <row r="41" spans="1:6">
      <c r="A41" s="44"/>
      <c r="B41" s="13"/>
      <c r="E41" s="10"/>
      <c r="F41" s="11"/>
    </row>
    <row r="42" spans="1:6">
      <c r="A42" s="44"/>
      <c r="B42" s="13"/>
      <c r="E42" s="10"/>
      <c r="F42" s="11"/>
    </row>
    <row r="43" spans="1:6">
      <c r="A43" s="44"/>
      <c r="B43" s="13"/>
      <c r="E43" s="10"/>
      <c r="F43" s="11"/>
    </row>
    <row r="44" spans="1:6">
      <c r="A44" s="44"/>
      <c r="B44" s="13"/>
      <c r="E44" s="10"/>
      <c r="F44" s="11"/>
    </row>
    <row r="45" spans="1:6">
      <c r="A45" s="44"/>
      <c r="B45" s="13"/>
      <c r="E45" s="10"/>
      <c r="F45" s="11"/>
    </row>
    <row r="46" spans="1:6">
      <c r="A46" s="44"/>
      <c r="B46" s="13"/>
      <c r="E46" s="10"/>
      <c r="F46" s="11"/>
    </row>
    <row r="47" spans="1:6">
      <c r="A47" s="44"/>
      <c r="B47" s="13"/>
      <c r="E47" s="10"/>
      <c r="F47" s="11"/>
    </row>
    <row r="48" spans="1:6">
      <c r="A48" s="44"/>
      <c r="B48" s="13"/>
      <c r="E48" s="10"/>
      <c r="F48" s="11"/>
    </row>
    <row r="49" spans="1:6">
      <c r="A49" s="44"/>
      <c r="B49" s="13"/>
      <c r="E49" s="10"/>
      <c r="F49" s="11"/>
    </row>
    <row r="50" spans="1:6">
      <c r="A50" s="44"/>
      <c r="B50" s="13"/>
      <c r="E50" s="10"/>
      <c r="F50" s="11"/>
    </row>
    <row r="51" spans="1:6">
      <c r="A51" s="44"/>
      <c r="B51" s="13"/>
      <c r="E51" s="10"/>
      <c r="F51" s="11"/>
    </row>
    <row r="52" spans="1:6">
      <c r="A52" s="44"/>
      <c r="B52" s="13"/>
      <c r="E52" s="10"/>
      <c r="F52" s="11"/>
    </row>
    <row r="53" spans="1:6">
      <c r="A53" s="44"/>
      <c r="B53" s="13"/>
      <c r="E53" s="10"/>
      <c r="F53" s="11"/>
    </row>
    <row r="54" spans="1:6">
      <c r="A54" s="44"/>
      <c r="B54" s="13"/>
      <c r="E54" s="10"/>
      <c r="F54" s="11"/>
    </row>
    <row r="55" spans="1:6">
      <c r="A55" s="44"/>
      <c r="B55" s="16"/>
      <c r="E55" s="10"/>
      <c r="F55" s="11"/>
    </row>
    <row r="56" spans="1:6" ht="110.25" customHeight="1">
      <c r="A56" s="44"/>
      <c r="B56" s="13"/>
      <c r="E56" s="10"/>
      <c r="F56" s="11"/>
    </row>
    <row r="57" spans="1:6">
      <c r="A57" s="44"/>
      <c r="B57" s="13"/>
      <c r="E57" s="10"/>
      <c r="F57" s="11"/>
    </row>
    <row r="58" spans="1:6">
      <c r="A58" s="44"/>
      <c r="B58" s="13"/>
      <c r="E58" s="10"/>
      <c r="F58" s="11"/>
    </row>
    <row r="59" spans="1:6">
      <c r="A59" s="44"/>
      <c r="B59" s="13"/>
      <c r="E59" s="10"/>
      <c r="F59" s="11"/>
    </row>
    <row r="60" spans="1:6">
      <c r="A60" s="44"/>
      <c r="B60" s="13"/>
      <c r="E60" s="10"/>
      <c r="F60" s="11"/>
    </row>
    <row r="61" spans="1:6">
      <c r="A61" s="44"/>
      <c r="B61" s="13"/>
      <c r="E61" s="10"/>
      <c r="F61" s="11"/>
    </row>
    <row r="62" spans="1:6">
      <c r="A62" s="44"/>
      <c r="B62" s="13"/>
      <c r="E62" s="10"/>
      <c r="F62" s="11"/>
    </row>
    <row r="63" spans="1:6">
      <c r="A63" s="44"/>
      <c r="B63" s="13"/>
      <c r="E63" s="10"/>
      <c r="F63" s="11"/>
    </row>
    <row r="64" spans="1:6" ht="79.5" customHeight="1">
      <c r="A64" s="44"/>
      <c r="B64" s="13"/>
      <c r="E64" s="10"/>
      <c r="F64" s="11"/>
    </row>
    <row r="65" spans="2:6" ht="31.5" customHeight="1">
      <c r="E65" s="10"/>
      <c r="F65" s="11"/>
    </row>
    <row r="66" spans="2:6">
      <c r="E66" s="10"/>
      <c r="F66" s="11"/>
    </row>
    <row r="67" spans="2:6">
      <c r="E67" s="10"/>
      <c r="F67" s="11"/>
    </row>
    <row r="68" spans="2:6">
      <c r="E68" s="10"/>
      <c r="F68" s="11"/>
    </row>
    <row r="69" spans="2:6">
      <c r="E69" s="10"/>
      <c r="F69" s="11"/>
    </row>
    <row r="70" spans="2:6">
      <c r="E70" s="10"/>
      <c r="F70" s="11"/>
    </row>
    <row r="71" spans="2:6">
      <c r="E71" s="10"/>
      <c r="F71" s="11"/>
    </row>
    <row r="72" spans="2:6">
      <c r="E72" s="10"/>
      <c r="F72" s="11"/>
    </row>
    <row r="73" spans="2:6">
      <c r="B73" s="13"/>
      <c r="E73" s="10"/>
      <c r="F73" s="11"/>
    </row>
    <row r="74" spans="2:6">
      <c r="B74" s="13"/>
      <c r="E74" s="10"/>
      <c r="F74" s="11"/>
    </row>
    <row r="75" spans="2:6">
      <c r="B75" s="13"/>
      <c r="E75" s="10"/>
      <c r="F75" s="11"/>
    </row>
    <row r="76" spans="2:6">
      <c r="E76" s="10"/>
      <c r="F76" s="11"/>
    </row>
    <row r="77" spans="2:6">
      <c r="E77" s="10"/>
      <c r="F77" s="11"/>
    </row>
    <row r="78" spans="2:6">
      <c r="E78" s="10"/>
      <c r="F78" s="11"/>
    </row>
    <row r="79" spans="2:6">
      <c r="E79" s="10"/>
      <c r="F79" s="11"/>
    </row>
    <row r="80" spans="2:6">
      <c r="E80" s="10"/>
      <c r="F80" s="11"/>
    </row>
    <row r="81" spans="2:6">
      <c r="E81" s="10"/>
      <c r="F81" s="11"/>
    </row>
    <row r="82" spans="2:6">
      <c r="E82" s="10"/>
      <c r="F82" s="11"/>
    </row>
    <row r="83" spans="2:6">
      <c r="E83" s="10"/>
      <c r="F83" s="11"/>
    </row>
    <row r="84" spans="2:6">
      <c r="E84" s="10"/>
      <c r="F84" s="11"/>
    </row>
    <row r="85" spans="2:6">
      <c r="E85" s="10"/>
      <c r="F85" s="11"/>
    </row>
    <row r="86" spans="2:6">
      <c r="E86" s="10"/>
      <c r="F86" s="11"/>
    </row>
    <row r="87" spans="2:6">
      <c r="B87" s="13"/>
      <c r="E87" s="10"/>
      <c r="F87" s="11"/>
    </row>
    <row r="88" spans="2:6" ht="81" customHeight="1">
      <c r="E88" s="10"/>
      <c r="F88" s="11"/>
    </row>
    <row r="89" spans="2:6">
      <c r="E89" s="10"/>
      <c r="F89" s="11"/>
    </row>
    <row r="90" spans="2:6">
      <c r="E90" s="10"/>
      <c r="F90" s="11"/>
    </row>
    <row r="91" spans="2:6">
      <c r="E91" s="10"/>
      <c r="F91" s="11"/>
    </row>
    <row r="92" spans="2:6" ht="65.25" customHeight="1">
      <c r="E92" s="10"/>
      <c r="F92" s="11"/>
    </row>
    <row r="93" spans="2:6">
      <c r="B93" s="5"/>
      <c r="E93" s="10"/>
      <c r="F93" s="11"/>
    </row>
    <row r="94" spans="2:6" ht="34.5" customHeight="1">
      <c r="E94" s="10"/>
      <c r="F94" s="11"/>
    </row>
    <row r="95" spans="2:6">
      <c r="E95" s="10"/>
      <c r="F95" s="11"/>
    </row>
    <row r="96" spans="2:6" ht="50.25" customHeight="1">
      <c r="E96" s="10"/>
      <c r="F96" s="11"/>
    </row>
    <row r="97" spans="2:6" ht="50.25" customHeight="1">
      <c r="E97" s="10"/>
      <c r="F97" s="11"/>
    </row>
    <row r="98" spans="2:6">
      <c r="E98" s="10"/>
      <c r="F98" s="11"/>
    </row>
    <row r="99" spans="2:6">
      <c r="E99" s="10"/>
      <c r="F99" s="11"/>
    </row>
    <row r="100" spans="2:6">
      <c r="E100" s="10"/>
      <c r="F100" s="11"/>
    </row>
    <row r="101" spans="2:6">
      <c r="E101" s="10"/>
      <c r="F101" s="11"/>
    </row>
    <row r="102" spans="2:6">
      <c r="E102" s="10"/>
      <c r="F102" s="11"/>
    </row>
    <row r="103" spans="2:6">
      <c r="E103" s="10"/>
      <c r="F103" s="11"/>
    </row>
    <row r="104" spans="2:6" ht="65.25" customHeight="1">
      <c r="E104" s="10"/>
      <c r="F104" s="11"/>
    </row>
    <row r="105" spans="2:6">
      <c r="B105" s="5"/>
      <c r="E105" s="10"/>
      <c r="F105" s="11"/>
    </row>
    <row r="106" spans="2:6" ht="34.5" customHeight="1">
      <c r="E106" s="10"/>
      <c r="F106" s="11"/>
    </row>
    <row r="107" spans="2:6">
      <c r="E107" s="10"/>
      <c r="F107" s="11"/>
    </row>
    <row r="108" spans="2:6" ht="50.25" customHeight="1">
      <c r="E108" s="10"/>
      <c r="F108" s="11"/>
    </row>
    <row r="109" spans="2:6" ht="50.25" customHeight="1">
      <c r="E109" s="10"/>
      <c r="F109" s="11"/>
    </row>
    <row r="110" spans="2:6">
      <c r="E110" s="10"/>
      <c r="F110" s="11"/>
    </row>
    <row r="111" spans="2:6">
      <c r="E111" s="10"/>
      <c r="F111" s="11"/>
    </row>
    <row r="112" spans="2:6">
      <c r="E112" s="10"/>
      <c r="F112" s="11"/>
    </row>
    <row r="113" spans="2:6">
      <c r="E113" s="10"/>
      <c r="F113" s="11"/>
    </row>
    <row r="114" spans="2:6">
      <c r="E114" s="10"/>
      <c r="F114" s="11"/>
    </row>
    <row r="115" spans="2:6">
      <c r="E115" s="10"/>
      <c r="F115" s="11"/>
    </row>
    <row r="116" spans="2:6" ht="36.75" customHeight="1">
      <c r="E116" s="10"/>
      <c r="F116" s="11"/>
    </row>
    <row r="117" spans="2:6">
      <c r="E117" s="10"/>
      <c r="F117" s="11"/>
    </row>
    <row r="118" spans="2:6">
      <c r="E118" s="10"/>
      <c r="F118" s="11"/>
    </row>
    <row r="119" spans="2:6">
      <c r="E119" s="10"/>
      <c r="F119" s="11"/>
    </row>
    <row r="120" spans="2:6">
      <c r="E120" s="10"/>
      <c r="F120" s="11"/>
    </row>
    <row r="121" spans="2:6">
      <c r="E121" s="10"/>
      <c r="F121" s="11"/>
    </row>
    <row r="122" spans="2:6">
      <c r="E122" s="10"/>
      <c r="F122" s="11"/>
    </row>
    <row r="123" spans="2:6" ht="48" customHeight="1">
      <c r="E123" s="10"/>
      <c r="F123" s="11"/>
    </row>
    <row r="124" spans="2:6">
      <c r="E124" s="10"/>
      <c r="F124" s="11"/>
    </row>
    <row r="125" spans="2:6" ht="48.75" customHeight="1">
      <c r="E125" s="10"/>
      <c r="F125" s="11"/>
    </row>
    <row r="126" spans="2:6">
      <c r="B126" s="5"/>
      <c r="E126" s="10"/>
      <c r="F126" s="11"/>
    </row>
    <row r="127" spans="2:6" ht="83.25" customHeight="1">
      <c r="E127" s="10"/>
      <c r="F127" s="11"/>
    </row>
    <row r="128" spans="2:6">
      <c r="E128" s="10"/>
      <c r="F128" s="11"/>
    </row>
    <row r="129" spans="2:6">
      <c r="E129" s="10"/>
      <c r="F129" s="11"/>
    </row>
    <row r="130" spans="2:6">
      <c r="E130" s="10"/>
      <c r="F130" s="11"/>
    </row>
    <row r="131" spans="2:6">
      <c r="E131" s="10"/>
      <c r="F131" s="11"/>
    </row>
    <row r="132" spans="2:6">
      <c r="E132" s="10"/>
      <c r="F132" s="11"/>
    </row>
    <row r="133" spans="2:6">
      <c r="E133" s="10"/>
      <c r="F133" s="11"/>
    </row>
    <row r="134" spans="2:6" ht="80.25" customHeight="1">
      <c r="E134" s="10"/>
      <c r="F134" s="11"/>
    </row>
    <row r="135" spans="2:6">
      <c r="E135" s="10"/>
      <c r="F135" s="11"/>
    </row>
    <row r="136" spans="2:6" ht="48.75" customHeight="1">
      <c r="E136" s="10"/>
      <c r="F136" s="11"/>
    </row>
    <row r="137" spans="2:6">
      <c r="E137" s="10"/>
      <c r="F137" s="11"/>
    </row>
    <row r="138" spans="2:6">
      <c r="B138" s="13"/>
      <c r="E138" s="10"/>
      <c r="F138" s="11"/>
    </row>
    <row r="139" spans="2:6">
      <c r="B139" s="13"/>
      <c r="E139" s="10"/>
      <c r="F139" s="11"/>
    </row>
    <row r="140" spans="2:6">
      <c r="B140" s="13"/>
      <c r="E140" s="10"/>
      <c r="F140" s="11"/>
    </row>
    <row r="141" spans="2:6">
      <c r="B141" s="13"/>
      <c r="E141" s="10"/>
      <c r="F141" s="11"/>
    </row>
    <row r="142" spans="2:6">
      <c r="B142" s="13"/>
      <c r="E142" s="10"/>
      <c r="F142" s="11"/>
    </row>
    <row r="143" spans="2:6">
      <c r="B143" s="13"/>
      <c r="E143" s="10"/>
      <c r="F143" s="11"/>
    </row>
    <row r="144" spans="2:6">
      <c r="B144" s="13"/>
      <c r="E144" s="10"/>
      <c r="F144" s="11"/>
    </row>
    <row r="145" spans="1:6">
      <c r="B145" s="13"/>
      <c r="E145" s="10"/>
      <c r="F145" s="11"/>
    </row>
    <row r="146" spans="1:6">
      <c r="A146" s="9" t="s">
        <v>36</v>
      </c>
      <c r="B146" s="6" t="s">
        <v>50</v>
      </c>
      <c r="E146" s="10"/>
      <c r="F146" s="11" t="e">
        <f>SUM(#REF!)</f>
        <v>#REF!</v>
      </c>
    </row>
    <row r="147" spans="1:6">
      <c r="E147" s="10"/>
      <c r="F147" s="11"/>
    </row>
    <row r="148" spans="1:6">
      <c r="A148" s="12"/>
      <c r="B148" s="12"/>
      <c r="E148" s="10"/>
      <c r="F148" s="11"/>
    </row>
  </sheetData>
  <pageMargins left="0.70866141732283472" right="0.70866141732283472" top="0.88124999999999998" bottom="0.74803149606299213" header="0.31496062992125984" footer="0.31496062992125984"/>
  <pageSetup paperSize="9" scale="90" orientation="portrait" r:id="rId1"/>
  <headerFooter>
    <oddHeader xml:space="preserve">&amp;L&amp;7POŽEŠKO-SLAVONSKA ŽUPANIJA Županijska 7, Požega
OIB 48744373701&amp;C&amp;7CJELOVITA OBNOVA ZGRADE JAVNE NAMJENE - 
''ŠKOLE'' HOSTELA GRAD MLADIH, GRANEŠINA
Aleja hrvatske mladeži 29, Zagreb
k.č. 7098, k.o. Granešina Nova&amp;R&amp;7ZOP: 12/24   </oddHeader>
  </headerFooter>
</worksheet>
</file>

<file path=xl/worksheets/sheet30.xml><?xml version="1.0" encoding="utf-8"?>
<worksheet xmlns="http://schemas.openxmlformats.org/spreadsheetml/2006/main" xmlns:r="http://schemas.openxmlformats.org/officeDocument/2006/relationships">
  <sheetPr>
    <tabColor rgb="FFFFFF00"/>
  </sheetPr>
  <dimension ref="B3:M50"/>
  <sheetViews>
    <sheetView showZeros="0" view="pageBreakPreview" zoomScaleNormal="100" zoomScaleSheetLayoutView="100" workbookViewId="0">
      <selection activeCell="M16" sqref="M16"/>
    </sheetView>
  </sheetViews>
  <sheetFormatPr defaultColWidth="9.140625" defaultRowHeight="15"/>
  <cols>
    <col min="1" max="1" width="5.28515625" style="2" customWidth="1"/>
    <col min="2" max="2" width="5.28515625" style="2" bestFit="1" customWidth="1"/>
    <col min="3" max="3" width="45.28515625" style="2" bestFit="1" customWidth="1"/>
    <col min="4" max="4" width="7.7109375" style="2" customWidth="1"/>
    <col min="5" max="5" width="8.7109375" style="2" customWidth="1"/>
    <col min="6" max="6" width="13.42578125" style="707" bestFit="1" customWidth="1"/>
    <col min="7" max="7" width="4.85546875" style="2" customWidth="1"/>
    <col min="8" max="12" width="9.140625" style="2"/>
    <col min="13" max="13" width="13.42578125" style="2" bestFit="1" customWidth="1"/>
    <col min="14" max="16384" width="9.140625" style="2"/>
  </cols>
  <sheetData>
    <row r="3" spans="2:6">
      <c r="C3" s="708" t="s">
        <v>274</v>
      </c>
    </row>
    <row r="5" spans="2:6">
      <c r="B5" s="2" t="s">
        <v>136</v>
      </c>
      <c r="C5" s="2" t="s">
        <v>711</v>
      </c>
      <c r="F5" s="707">
        <f>'1 Pripremni radovi'!F140</f>
        <v>0</v>
      </c>
    </row>
    <row r="6" spans="2:6">
      <c r="B6" s="2" t="s">
        <v>138</v>
      </c>
      <c r="C6" s="2" t="s">
        <v>794</v>
      </c>
      <c r="F6" s="707">
        <f>'2 Rušenja i demontaže'!F226</f>
        <v>0</v>
      </c>
    </row>
    <row r="7" spans="2:6">
      <c r="B7" s="2" t="s">
        <v>77</v>
      </c>
      <c r="C7" s="2" t="s">
        <v>712</v>
      </c>
      <c r="F7" s="707">
        <f>'3 Zemljani'!F100</f>
        <v>0</v>
      </c>
    </row>
    <row r="8" spans="2:6">
      <c r="B8" s="2" t="s">
        <v>0</v>
      </c>
      <c r="C8" s="2" t="s">
        <v>795</v>
      </c>
      <c r="F8" s="707">
        <f>'4 AB radovi'!F182</f>
        <v>0</v>
      </c>
    </row>
    <row r="9" spans="2:6">
      <c r="B9" s="2" t="s">
        <v>30</v>
      </c>
      <c r="C9" s="2" t="s">
        <v>713</v>
      </c>
      <c r="F9" s="707">
        <f>'5 Armirački'!F14</f>
        <v>0</v>
      </c>
    </row>
    <row r="10" spans="2:6">
      <c r="B10" s="2" t="s">
        <v>139</v>
      </c>
      <c r="C10" s="2" t="s">
        <v>474</v>
      </c>
      <c r="F10" s="707">
        <f>'6 Čelične konstrukcije'!F73</f>
        <v>0</v>
      </c>
    </row>
    <row r="11" spans="2:6">
      <c r="B11" s="2" t="s">
        <v>142</v>
      </c>
      <c r="C11" s="2" t="s">
        <v>714</v>
      </c>
      <c r="F11" s="707">
        <f>'7 Zidarski'!F145</f>
        <v>0</v>
      </c>
    </row>
    <row r="12" spans="2:6">
      <c r="B12" s="2" t="s">
        <v>36</v>
      </c>
      <c r="C12" s="2" t="s">
        <v>796</v>
      </c>
      <c r="F12" s="707">
        <f>'8 Tesarski'!F41</f>
        <v>0</v>
      </c>
    </row>
    <row r="13" spans="2:6">
      <c r="C13" s="708" t="s">
        <v>717</v>
      </c>
      <c r="D13" s="708"/>
      <c r="E13" s="708"/>
      <c r="F13" s="709">
        <f>SUM(F5:F12)</f>
        <v>0</v>
      </c>
    </row>
    <row r="17" spans="2:13">
      <c r="B17" s="2" t="s">
        <v>22</v>
      </c>
      <c r="C17" s="2" t="s">
        <v>718</v>
      </c>
      <c r="F17" s="707">
        <f>'9 Bravarski'!F222</f>
        <v>0</v>
      </c>
    </row>
    <row r="18" spans="2:13">
      <c r="B18" s="2" t="s">
        <v>245</v>
      </c>
      <c r="C18" s="2" t="s">
        <v>719</v>
      </c>
      <c r="F18" s="707">
        <f>'10 Stolarski'!F206</f>
        <v>0</v>
      </c>
    </row>
    <row r="19" spans="2:13">
      <c r="B19" s="2" t="s">
        <v>246</v>
      </c>
      <c r="C19" s="2" t="s">
        <v>715</v>
      </c>
      <c r="F19" s="707">
        <f>'11 Izolaterski'!F214</f>
        <v>0</v>
      </c>
    </row>
    <row r="20" spans="2:13">
      <c r="B20" s="2" t="s">
        <v>247</v>
      </c>
      <c r="C20" s="2" t="s">
        <v>797</v>
      </c>
      <c r="F20" s="707">
        <f>'12 Krovopokrivački'!F54</f>
        <v>0</v>
      </c>
    </row>
    <row r="21" spans="2:13">
      <c r="B21" s="2" t="s">
        <v>248</v>
      </c>
      <c r="C21" s="2" t="s">
        <v>716</v>
      </c>
      <c r="F21" s="707">
        <f>'13 Fasaderski'!F143</f>
        <v>0</v>
      </c>
    </row>
    <row r="22" spans="2:13">
      <c r="B22" s="2" t="s">
        <v>249</v>
      </c>
      <c r="C22" s="2" t="s">
        <v>798</v>
      </c>
      <c r="F22" s="707">
        <f>'14 Suhomontažni'!F214</f>
        <v>0</v>
      </c>
    </row>
    <row r="23" spans="2:13">
      <c r="B23" s="2" t="s">
        <v>684</v>
      </c>
      <c r="C23" s="2" t="s">
        <v>799</v>
      </c>
      <c r="F23" s="707">
        <f>'15 Parketarski'!F23</f>
        <v>0</v>
      </c>
    </row>
    <row r="24" spans="2:13">
      <c r="B24" s="2" t="s">
        <v>250</v>
      </c>
      <c r="C24" s="2" t="s">
        <v>720</v>
      </c>
      <c r="F24" s="707">
        <f>'16 Podopolagački'!F70</f>
        <v>0</v>
      </c>
      <c r="M24" s="707"/>
    </row>
    <row r="25" spans="2:13">
      <c r="B25" s="2" t="s">
        <v>276</v>
      </c>
      <c r="C25" s="2" t="s">
        <v>800</v>
      </c>
      <c r="F25" s="707">
        <f>'17 Kamenarski'!F110</f>
        <v>0</v>
      </c>
    </row>
    <row r="26" spans="2:13">
      <c r="B26" s="2" t="s">
        <v>685</v>
      </c>
      <c r="C26" s="2" t="s">
        <v>721</v>
      </c>
      <c r="F26" s="707">
        <f>'18 Keramičarski'!F43</f>
        <v>0</v>
      </c>
    </row>
    <row r="27" spans="2:13">
      <c r="B27" s="2" t="s">
        <v>686</v>
      </c>
      <c r="C27" s="2" t="s">
        <v>722</v>
      </c>
      <c r="F27" s="707">
        <f>'19 Soboslikarski'!F58</f>
        <v>0</v>
      </c>
      <c r="M27" s="707"/>
    </row>
    <row r="28" spans="2:13">
      <c r="B28" s="2" t="s">
        <v>687</v>
      </c>
      <c r="C28" s="2" t="s">
        <v>723</v>
      </c>
      <c r="F28" s="707">
        <f>'20 Limarski'!F97</f>
        <v>0</v>
      </c>
    </row>
    <row r="29" spans="2:13">
      <c r="B29" s="2" t="s">
        <v>277</v>
      </c>
      <c r="C29" s="2" t="s">
        <v>724</v>
      </c>
      <c r="F29" s="707">
        <f>'21 Okoliš'!F102</f>
        <v>0</v>
      </c>
    </row>
    <row r="30" spans="2:13">
      <c r="B30" s="2" t="s">
        <v>688</v>
      </c>
      <c r="C30" s="2" t="s">
        <v>725</v>
      </c>
      <c r="F30" s="707">
        <f>'22 Razni'!F60</f>
        <v>0</v>
      </c>
    </row>
    <row r="31" spans="2:13">
      <c r="C31" s="708" t="s">
        <v>726</v>
      </c>
      <c r="D31" s="708"/>
      <c r="E31" s="708"/>
      <c r="F31" s="709">
        <f>SUM(F17:F30)</f>
        <v>0</v>
      </c>
    </row>
    <row r="34" spans="2:6">
      <c r="B34" s="2" t="s">
        <v>689</v>
      </c>
      <c r="C34" s="2" t="s">
        <v>275</v>
      </c>
      <c r="F34" s="707">
        <f>'23 Elektro'!F1203</f>
        <v>0</v>
      </c>
    </row>
    <row r="35" spans="2:6">
      <c r="B35" s="2" t="s">
        <v>710</v>
      </c>
      <c r="C35" s="2" t="s">
        <v>727</v>
      </c>
      <c r="F35" s="707">
        <f>'24 Vatrodojava'!F270</f>
        <v>0</v>
      </c>
    </row>
    <row r="36" spans="2:6">
      <c r="C36" s="708" t="s">
        <v>728</v>
      </c>
      <c r="F36" s="709">
        <f>SUM(F34+F35)</f>
        <v>0</v>
      </c>
    </row>
    <row r="39" spans="2:6">
      <c r="B39" s="2" t="s">
        <v>730</v>
      </c>
      <c r="C39" s="2" t="s">
        <v>803</v>
      </c>
      <c r="F39" s="707">
        <f>'25 GHV'!F940</f>
        <v>0</v>
      </c>
    </row>
    <row r="40" spans="2:6">
      <c r="C40" s="708" t="s">
        <v>802</v>
      </c>
      <c r="D40" s="708"/>
      <c r="E40" s="708"/>
      <c r="F40" s="709">
        <f>F39</f>
        <v>0</v>
      </c>
    </row>
    <row r="43" spans="2:6">
      <c r="B43" s="2" t="s">
        <v>801</v>
      </c>
      <c r="C43" s="2" t="s">
        <v>729</v>
      </c>
      <c r="F43" s="707">
        <f>'26 VIK'!F547</f>
        <v>0</v>
      </c>
    </row>
    <row r="44" spans="2:6">
      <c r="C44" s="708" t="s">
        <v>804</v>
      </c>
      <c r="D44" s="708"/>
      <c r="E44" s="708"/>
      <c r="F44" s="709">
        <f>F43</f>
        <v>0</v>
      </c>
    </row>
    <row r="45" spans="2:6">
      <c r="C45" s="708"/>
      <c r="D45" s="708"/>
      <c r="E45" s="708"/>
      <c r="F45" s="709"/>
    </row>
    <row r="46" spans="2:6">
      <c r="C46" s="708"/>
      <c r="D46" s="708"/>
      <c r="E46" s="708"/>
      <c r="F46" s="709"/>
    </row>
    <row r="48" spans="2:6">
      <c r="C48" s="2" t="s">
        <v>278</v>
      </c>
      <c r="F48" s="707">
        <f>SUM(F13+F31+F36+F40+F44)</f>
        <v>0</v>
      </c>
    </row>
    <row r="49" spans="3:6">
      <c r="C49" s="2" t="s">
        <v>279</v>
      </c>
      <c r="F49" s="707">
        <f>F48*0.25</f>
        <v>0</v>
      </c>
    </row>
    <row r="50" spans="3:6" ht="15.75" thickBot="1">
      <c r="C50" s="710" t="s">
        <v>731</v>
      </c>
      <c r="D50" s="710"/>
      <c r="E50" s="710"/>
      <c r="F50" s="711">
        <f>SUM(F48+F49)</f>
        <v>0</v>
      </c>
    </row>
  </sheetData>
  <pageMargins left="0.7" right="0.7" top="0.81843750000000004" bottom="0.75" header="0.3" footer="0.3"/>
  <pageSetup paperSize="9" scale="97"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4.xml><?xml version="1.0" encoding="utf-8"?>
<worksheet xmlns="http://schemas.openxmlformats.org/spreadsheetml/2006/main" xmlns:r="http://schemas.openxmlformats.org/officeDocument/2006/relationships">
  <sheetPr>
    <tabColor rgb="FFFFC000"/>
  </sheetPr>
  <dimension ref="A1:I248"/>
  <sheetViews>
    <sheetView showZeros="0" view="pageBreakPreview" zoomScale="85" zoomScaleNormal="85" zoomScaleSheetLayoutView="85" workbookViewId="0">
      <selection activeCell="E2" sqref="E2:F203"/>
    </sheetView>
  </sheetViews>
  <sheetFormatPr defaultColWidth="8.85546875" defaultRowHeight="15"/>
  <cols>
    <col min="1" max="1" width="8.7109375" style="23" customWidth="1"/>
    <col min="2" max="2" width="45.140625" style="1" customWidth="1"/>
    <col min="3" max="3" width="8.5703125" style="29" customWidth="1"/>
    <col min="4" max="4" width="10.7109375" style="40" customWidth="1"/>
    <col min="5" max="5" width="13.7109375" style="163" customWidth="1"/>
    <col min="6" max="6" width="16.7109375" style="163" customWidth="1"/>
    <col min="7" max="8" width="8.85546875" style="2"/>
    <col min="9" max="9" width="20.7109375" style="2" customWidth="1"/>
    <col min="10" max="17" width="8.85546875" style="2"/>
    <col min="18" max="18" width="43" style="2" customWidth="1"/>
    <col min="19" max="16384" width="8.85546875" style="2"/>
  </cols>
  <sheetData>
    <row r="1" spans="1:6">
      <c r="A1" s="118" t="s">
        <v>260</v>
      </c>
      <c r="B1" s="107" t="s">
        <v>261</v>
      </c>
      <c r="C1" s="64" t="s">
        <v>262</v>
      </c>
      <c r="D1" s="114" t="s">
        <v>263</v>
      </c>
      <c r="E1" s="158" t="s">
        <v>264</v>
      </c>
      <c r="F1" s="159" t="s">
        <v>265</v>
      </c>
    </row>
    <row r="3" spans="1:6">
      <c r="A3" s="17" t="s">
        <v>136</v>
      </c>
      <c r="B3" s="25" t="s">
        <v>137</v>
      </c>
      <c r="C3" s="42"/>
      <c r="D3" s="41"/>
      <c r="E3" s="160"/>
      <c r="F3" s="161"/>
    </row>
    <row r="4" spans="1:6">
      <c r="A4" s="123"/>
      <c r="B4" s="4"/>
      <c r="C4" s="42"/>
      <c r="D4" s="41"/>
      <c r="E4" s="160"/>
      <c r="F4" s="161"/>
    </row>
    <row r="5" spans="1:6">
      <c r="A5" s="123"/>
      <c r="B5" s="4"/>
      <c r="C5" s="42"/>
      <c r="D5" s="41"/>
      <c r="E5" s="160"/>
      <c r="F5" s="161"/>
    </row>
    <row r="6" spans="1:6">
      <c r="B6" s="25" t="s">
        <v>266</v>
      </c>
      <c r="C6" s="42"/>
      <c r="D6" s="41"/>
      <c r="E6" s="160"/>
      <c r="F6" s="161"/>
    </row>
    <row r="7" spans="1:6">
      <c r="B7" s="1" t="s">
        <v>99</v>
      </c>
      <c r="C7" s="42"/>
      <c r="D7" s="41"/>
      <c r="E7" s="160"/>
      <c r="F7" s="161"/>
    </row>
    <row r="8" spans="1:6" ht="45">
      <c r="B8" s="1" t="s">
        <v>853</v>
      </c>
      <c r="C8" s="42"/>
      <c r="D8" s="41"/>
      <c r="E8" s="160"/>
      <c r="F8" s="161"/>
    </row>
    <row r="9" spans="1:6" ht="30">
      <c r="B9" s="1" t="s">
        <v>100</v>
      </c>
      <c r="C9" s="42"/>
      <c r="D9" s="41"/>
      <c r="E9" s="160"/>
      <c r="F9" s="161"/>
    </row>
    <row r="10" spans="1:6" ht="60">
      <c r="B10" s="1" t="s">
        <v>101</v>
      </c>
      <c r="C10" s="42"/>
      <c r="D10" s="41"/>
      <c r="E10" s="160"/>
      <c r="F10" s="161"/>
    </row>
    <row r="11" spans="1:6">
      <c r="C11" s="42"/>
      <c r="D11" s="41"/>
      <c r="E11" s="160"/>
      <c r="F11" s="161"/>
    </row>
    <row r="12" spans="1:6" ht="45">
      <c r="B12" s="1" t="s">
        <v>102</v>
      </c>
      <c r="C12" s="42"/>
      <c r="D12" s="41"/>
      <c r="E12" s="160"/>
      <c r="F12" s="161"/>
    </row>
    <row r="13" spans="1:6" ht="60">
      <c r="B13" s="7" t="s">
        <v>824</v>
      </c>
      <c r="C13" s="42"/>
      <c r="D13" s="41"/>
      <c r="E13" s="160"/>
      <c r="F13" s="161"/>
    </row>
    <row r="14" spans="1:6" ht="60">
      <c r="B14" s="1" t="s">
        <v>103</v>
      </c>
      <c r="C14" s="42"/>
      <c r="D14" s="41"/>
      <c r="E14" s="160"/>
      <c r="F14" s="161"/>
    </row>
    <row r="15" spans="1:6">
      <c r="A15" s="123"/>
      <c r="B15" s="4"/>
      <c r="C15" s="42"/>
      <c r="D15" s="41"/>
      <c r="E15" s="160"/>
      <c r="F15" s="161"/>
    </row>
    <row r="16" spans="1:6">
      <c r="A16" s="123"/>
      <c r="B16" s="4"/>
      <c r="C16" s="42"/>
      <c r="D16" s="41"/>
      <c r="E16" s="160"/>
      <c r="F16" s="161"/>
    </row>
    <row r="17" spans="1:6" ht="30">
      <c r="A17" s="23">
        <f>COUNT($A$5:A16)+1</f>
        <v>1</v>
      </c>
      <c r="B17" s="1" t="s">
        <v>650</v>
      </c>
      <c r="E17" s="162"/>
    </row>
    <row r="18" spans="1:6" ht="45">
      <c r="B18" s="34" t="s">
        <v>85</v>
      </c>
      <c r="E18" s="162"/>
    </row>
    <row r="19" spans="1:6" ht="45">
      <c r="B19" s="34" t="s">
        <v>84</v>
      </c>
      <c r="E19" s="162"/>
    </row>
    <row r="20" spans="1:6">
      <c r="B20" s="1" t="s">
        <v>83</v>
      </c>
      <c r="C20" s="29" t="s">
        <v>11</v>
      </c>
      <c r="D20" s="40">
        <v>100</v>
      </c>
      <c r="E20" s="162"/>
    </row>
    <row r="21" spans="1:6">
      <c r="A21" s="123"/>
      <c r="B21" s="4"/>
      <c r="C21" s="42"/>
      <c r="D21" s="41"/>
      <c r="E21" s="160"/>
    </row>
    <row r="22" spans="1:6">
      <c r="A22" s="23">
        <f>COUNT($A$5:A21)+1</f>
        <v>2</v>
      </c>
      <c r="B22" s="25" t="s">
        <v>87</v>
      </c>
      <c r="E22" s="162"/>
    </row>
    <row r="23" spans="1:6" ht="30">
      <c r="B23" s="1" t="s">
        <v>88</v>
      </c>
      <c r="E23" s="162"/>
    </row>
    <row r="24" spans="1:6" ht="75">
      <c r="B24" s="1" t="s">
        <v>350</v>
      </c>
      <c r="E24" s="162"/>
    </row>
    <row r="25" spans="1:6" ht="30">
      <c r="B25" s="1" t="s">
        <v>351</v>
      </c>
      <c r="C25" s="29" t="s">
        <v>76</v>
      </c>
      <c r="D25" s="40">
        <v>1</v>
      </c>
      <c r="E25" s="162"/>
    </row>
    <row r="26" spans="1:6">
      <c r="A26" s="124"/>
      <c r="B26" s="4"/>
      <c r="D26" s="41"/>
      <c r="E26" s="160"/>
    </row>
    <row r="27" spans="1:6">
      <c r="A27" s="123"/>
      <c r="B27" s="4"/>
      <c r="C27" s="42"/>
      <c r="D27" s="41"/>
      <c r="E27" s="160"/>
    </row>
    <row r="28" spans="1:6" s="68" customFormat="1" ht="45">
      <c r="A28" s="23">
        <f>COUNT($A$5:A27)+1</f>
        <v>3</v>
      </c>
      <c r="B28" s="1" t="s">
        <v>352</v>
      </c>
      <c r="C28" s="31"/>
      <c r="D28" s="40"/>
      <c r="E28" s="163"/>
      <c r="F28" s="163"/>
    </row>
    <row r="29" spans="1:6" s="68" customFormat="1" ht="30">
      <c r="A29" s="125"/>
      <c r="B29" s="1" t="s">
        <v>105</v>
      </c>
      <c r="C29" s="31"/>
      <c r="D29" s="40"/>
      <c r="E29" s="163"/>
      <c r="F29" s="163"/>
    </row>
    <row r="30" spans="1:6" s="68" customFormat="1" ht="75">
      <c r="A30" s="125"/>
      <c r="B30" s="1" t="s">
        <v>854</v>
      </c>
      <c r="C30" s="31"/>
      <c r="D30" s="40"/>
      <c r="E30" s="163"/>
      <c r="F30" s="163"/>
    </row>
    <row r="31" spans="1:6" s="68" customFormat="1" ht="75">
      <c r="A31" s="125"/>
      <c r="B31" s="1" t="s">
        <v>106</v>
      </c>
      <c r="C31" s="31"/>
      <c r="D31" s="40"/>
      <c r="E31" s="163"/>
      <c r="F31" s="163"/>
    </row>
    <row r="32" spans="1:6" s="68" customFormat="1">
      <c r="A32" s="125"/>
      <c r="B32" s="1" t="s">
        <v>75</v>
      </c>
      <c r="C32" s="29" t="s">
        <v>76</v>
      </c>
      <c r="D32" s="40">
        <v>1</v>
      </c>
      <c r="E32" s="162"/>
      <c r="F32" s="163"/>
    </row>
    <row r="33" spans="1:9">
      <c r="A33" s="123"/>
      <c r="B33" s="4"/>
      <c r="C33" s="42"/>
      <c r="D33" s="41"/>
      <c r="E33" s="160"/>
    </row>
    <row r="34" spans="1:9">
      <c r="A34" s="123"/>
      <c r="B34" s="4"/>
      <c r="C34" s="42"/>
      <c r="D34" s="41"/>
      <c r="E34" s="160"/>
    </row>
    <row r="35" spans="1:9">
      <c r="A35" s="23">
        <f>COUNT($A$5:A34)+1</f>
        <v>4</v>
      </c>
      <c r="B35" s="25" t="s">
        <v>86</v>
      </c>
      <c r="E35" s="162"/>
    </row>
    <row r="36" spans="1:9" ht="105">
      <c r="B36" s="1" t="s">
        <v>107</v>
      </c>
      <c r="E36" s="162"/>
    </row>
    <row r="37" spans="1:9">
      <c r="B37" s="1" t="s">
        <v>75</v>
      </c>
      <c r="C37" s="29" t="s">
        <v>76</v>
      </c>
      <c r="D37" s="40">
        <v>1</v>
      </c>
      <c r="E37" s="162"/>
    </row>
    <row r="38" spans="1:9">
      <c r="A38" s="123"/>
      <c r="B38" s="4"/>
      <c r="C38" s="42"/>
      <c r="D38" s="41"/>
      <c r="E38" s="161"/>
    </row>
    <row r="39" spans="1:9">
      <c r="A39" s="123"/>
      <c r="B39" s="4"/>
      <c r="C39" s="42"/>
      <c r="D39" s="41"/>
      <c r="E39" s="160"/>
    </row>
    <row r="40" spans="1:9" s="68" customFormat="1" ht="60">
      <c r="A40" s="23">
        <f>COUNT($A$5:A39)+1</f>
        <v>5</v>
      </c>
      <c r="B40" s="32" t="s">
        <v>353</v>
      </c>
      <c r="C40" s="56"/>
      <c r="D40" s="40"/>
      <c r="E40" s="163"/>
      <c r="F40" s="163"/>
    </row>
    <row r="41" spans="1:9" s="68" customFormat="1" ht="30">
      <c r="A41" s="125"/>
      <c r="B41" s="32" t="s">
        <v>108</v>
      </c>
      <c r="C41" s="56"/>
      <c r="D41" s="40"/>
      <c r="E41" s="163"/>
      <c r="F41" s="163"/>
    </row>
    <row r="42" spans="1:9" s="68" customFormat="1">
      <c r="A42" s="125"/>
      <c r="B42" s="32" t="s">
        <v>75</v>
      </c>
      <c r="C42" s="56" t="s">
        <v>76</v>
      </c>
      <c r="D42" s="40">
        <v>1</v>
      </c>
      <c r="E42" s="162"/>
      <c r="F42" s="163"/>
    </row>
    <row r="43" spans="1:9">
      <c r="E43" s="162"/>
    </row>
    <row r="44" spans="1:9">
      <c r="A44" s="123"/>
      <c r="B44" s="4"/>
      <c r="C44" s="42"/>
      <c r="D44" s="41"/>
      <c r="E44" s="160"/>
    </row>
    <row r="45" spans="1:9" s="68" customFormat="1" ht="60">
      <c r="A45" s="23">
        <f>COUNT($A$5:A44)+1</f>
        <v>6</v>
      </c>
      <c r="B45" s="32" t="s">
        <v>354</v>
      </c>
      <c r="C45" s="52"/>
      <c r="D45" s="41"/>
      <c r="E45" s="161"/>
      <c r="F45" s="163"/>
    </row>
    <row r="46" spans="1:9" s="68" customFormat="1" ht="105">
      <c r="A46" s="126"/>
      <c r="B46" s="32" t="s">
        <v>259</v>
      </c>
      <c r="C46" s="52"/>
      <c r="D46" s="41"/>
      <c r="E46" s="164"/>
      <c r="F46" s="163"/>
      <c r="I46" s="8"/>
    </row>
    <row r="47" spans="1:9" s="68" customFormat="1">
      <c r="A47" s="126"/>
      <c r="B47" s="32" t="s">
        <v>855</v>
      </c>
      <c r="C47" s="56"/>
      <c r="D47" s="40"/>
      <c r="E47" s="163"/>
      <c r="F47" s="163"/>
    </row>
    <row r="48" spans="1:9" s="68" customFormat="1">
      <c r="A48" s="126"/>
      <c r="B48" s="32" t="s">
        <v>109</v>
      </c>
      <c r="C48" s="56"/>
      <c r="D48" s="40"/>
      <c r="E48" s="163"/>
      <c r="F48" s="163"/>
    </row>
    <row r="49" spans="1:6" s="68" customFormat="1" ht="30">
      <c r="A49" s="126" t="s">
        <v>16</v>
      </c>
      <c r="B49" s="38" t="s">
        <v>110</v>
      </c>
      <c r="C49" s="56" t="s">
        <v>76</v>
      </c>
      <c r="D49" s="40">
        <v>1</v>
      </c>
      <c r="E49" s="162"/>
      <c r="F49" s="163"/>
    </row>
    <row r="50" spans="1:6" s="68" customFormat="1" ht="30">
      <c r="A50" s="126" t="s">
        <v>17</v>
      </c>
      <c r="B50" s="38" t="s">
        <v>111</v>
      </c>
      <c r="C50" s="56" t="s">
        <v>76</v>
      </c>
      <c r="D50" s="40">
        <v>1</v>
      </c>
      <c r="E50" s="162"/>
      <c r="F50" s="163"/>
    </row>
    <row r="51" spans="1:6" s="68" customFormat="1">
      <c r="A51" s="126" t="s">
        <v>112</v>
      </c>
      <c r="B51" s="38" t="s">
        <v>113</v>
      </c>
      <c r="C51" s="56" t="s">
        <v>76</v>
      </c>
      <c r="D51" s="40">
        <v>1</v>
      </c>
      <c r="E51" s="162"/>
      <c r="F51" s="163"/>
    </row>
    <row r="52" spans="1:6" s="68" customFormat="1">
      <c r="A52" s="125" t="s">
        <v>114</v>
      </c>
      <c r="B52" s="38" t="s">
        <v>115</v>
      </c>
      <c r="C52" s="56" t="s">
        <v>76</v>
      </c>
      <c r="D52" s="40">
        <v>1</v>
      </c>
      <c r="E52" s="162"/>
      <c r="F52" s="163"/>
    </row>
    <row r="53" spans="1:6" s="68" customFormat="1" ht="30">
      <c r="A53" s="125" t="s">
        <v>116</v>
      </c>
      <c r="B53" s="38" t="s">
        <v>117</v>
      </c>
      <c r="C53" s="56" t="s">
        <v>76</v>
      </c>
      <c r="D53" s="40">
        <v>1</v>
      </c>
      <c r="E53" s="162"/>
      <c r="F53" s="163"/>
    </row>
    <row r="54" spans="1:6">
      <c r="A54" s="123"/>
      <c r="B54" s="4"/>
      <c r="C54" s="42"/>
      <c r="D54" s="41"/>
      <c r="E54" s="160"/>
    </row>
    <row r="55" spans="1:6">
      <c r="A55" s="123"/>
      <c r="B55" s="4"/>
      <c r="C55" s="42"/>
      <c r="D55" s="41"/>
      <c r="E55" s="160"/>
    </row>
    <row r="56" spans="1:6" s="68" customFormat="1">
      <c r="A56" s="23">
        <f>COUNT($A$5:A55)+1</f>
        <v>7</v>
      </c>
      <c r="B56" s="39" t="s">
        <v>118</v>
      </c>
      <c r="C56" s="56"/>
      <c r="D56" s="40"/>
      <c r="E56" s="162"/>
      <c r="F56" s="163"/>
    </row>
    <row r="57" spans="1:6" s="68" customFormat="1" ht="90">
      <c r="A57" s="17"/>
      <c r="B57" s="32" t="s">
        <v>355</v>
      </c>
      <c r="C57" s="56"/>
      <c r="D57" s="40"/>
      <c r="E57" s="162"/>
      <c r="F57" s="163"/>
    </row>
    <row r="58" spans="1:6" s="68" customFormat="1" ht="35.25" customHeight="1">
      <c r="A58" s="17"/>
      <c r="B58" s="32" t="s">
        <v>119</v>
      </c>
      <c r="C58" s="56"/>
      <c r="D58" s="40"/>
      <c r="E58" s="162"/>
      <c r="F58" s="163"/>
    </row>
    <row r="59" spans="1:6" s="68" customFormat="1" ht="30">
      <c r="A59" s="17"/>
      <c r="B59" s="32" t="s">
        <v>120</v>
      </c>
      <c r="C59" s="56" t="s">
        <v>9</v>
      </c>
      <c r="D59" s="40">
        <v>20</v>
      </c>
      <c r="E59" s="162"/>
      <c r="F59" s="163"/>
    </row>
    <row r="60" spans="1:6" s="68" customFormat="1">
      <c r="A60" s="50"/>
      <c r="B60" s="37"/>
      <c r="C60" s="52"/>
      <c r="D60" s="41"/>
      <c r="E60" s="160"/>
      <c r="F60" s="163"/>
    </row>
    <row r="61" spans="1:6" s="68" customFormat="1">
      <c r="A61" s="23">
        <f>COUNT($A$5:A60)+1</f>
        <v>8</v>
      </c>
      <c r="B61" s="39" t="s">
        <v>122</v>
      </c>
      <c r="C61" s="56"/>
      <c r="D61" s="40"/>
      <c r="E61" s="162"/>
      <c r="F61" s="163"/>
    </row>
    <row r="62" spans="1:6" s="68" customFormat="1">
      <c r="A62" s="17"/>
      <c r="B62" s="32" t="s">
        <v>123</v>
      </c>
      <c r="C62" s="56"/>
      <c r="D62" s="40"/>
      <c r="E62" s="162"/>
      <c r="F62" s="163"/>
    </row>
    <row r="63" spans="1:6" s="68" customFormat="1" ht="60">
      <c r="A63" s="17"/>
      <c r="B63" s="32" t="s">
        <v>124</v>
      </c>
      <c r="C63" s="56"/>
      <c r="D63" s="40"/>
      <c r="E63" s="162"/>
      <c r="F63" s="163"/>
    </row>
    <row r="64" spans="1:6" s="68" customFormat="1" ht="30">
      <c r="A64" s="17"/>
      <c r="B64" s="32" t="s">
        <v>119</v>
      </c>
      <c r="C64" s="56"/>
      <c r="D64" s="40"/>
      <c r="E64" s="162"/>
      <c r="F64" s="163"/>
    </row>
    <row r="65" spans="1:8" s="68" customFormat="1" ht="45">
      <c r="A65" s="17"/>
      <c r="B65" s="32" t="s">
        <v>125</v>
      </c>
      <c r="C65" s="56" t="s">
        <v>121</v>
      </c>
      <c r="D65" s="40">
        <v>80</v>
      </c>
      <c r="E65" s="162"/>
      <c r="F65" s="163"/>
    </row>
    <row r="66" spans="1:8" s="68" customFormat="1">
      <c r="A66" s="50"/>
      <c r="B66" s="37"/>
      <c r="C66" s="52"/>
      <c r="D66" s="41"/>
      <c r="E66" s="160"/>
      <c r="F66" s="163"/>
    </row>
    <row r="67" spans="1:8" s="68" customFormat="1" ht="30">
      <c r="A67" s="23">
        <f>COUNT($A$5:A66)+1</f>
        <v>9</v>
      </c>
      <c r="B67" s="39" t="s">
        <v>126</v>
      </c>
      <c r="C67" s="56"/>
      <c r="D67" s="40"/>
      <c r="E67" s="162"/>
      <c r="F67" s="163"/>
    </row>
    <row r="68" spans="1:8" s="68" customFormat="1" ht="90">
      <c r="A68" s="126"/>
      <c r="B68" s="32" t="s">
        <v>127</v>
      </c>
      <c r="C68" s="56"/>
      <c r="D68" s="40"/>
      <c r="E68" s="162"/>
      <c r="F68" s="163"/>
    </row>
    <row r="69" spans="1:8" s="68" customFormat="1" ht="30">
      <c r="A69" s="126"/>
      <c r="B69" s="32" t="s">
        <v>1727</v>
      </c>
      <c r="C69" s="56"/>
      <c r="D69" s="40"/>
      <c r="E69" s="162"/>
      <c r="F69" s="163"/>
    </row>
    <row r="70" spans="1:8" s="68" customFormat="1" ht="30">
      <c r="A70" s="126"/>
      <c r="B70" s="32" t="s">
        <v>128</v>
      </c>
      <c r="C70" s="56" t="s">
        <v>121</v>
      </c>
      <c r="D70" s="40">
        <v>80</v>
      </c>
      <c r="E70" s="162"/>
      <c r="F70" s="163"/>
    </row>
    <row r="71" spans="1:8" s="68" customFormat="1">
      <c r="A71" s="124"/>
      <c r="B71" s="53"/>
      <c r="C71" s="52"/>
      <c r="D71" s="41"/>
      <c r="E71" s="160"/>
      <c r="F71" s="163"/>
    </row>
    <row r="72" spans="1:8" s="68" customFormat="1" ht="30">
      <c r="A72" s="23">
        <f>COUNT($A$5:A71)+1</f>
        <v>10</v>
      </c>
      <c r="B72" s="32" t="s">
        <v>356</v>
      </c>
      <c r="C72" s="56"/>
      <c r="D72" s="40"/>
      <c r="E72" s="162"/>
      <c r="F72" s="163"/>
      <c r="H72" s="8"/>
    </row>
    <row r="73" spans="1:8" s="68" customFormat="1" ht="195">
      <c r="A73" s="126"/>
      <c r="B73" s="32" t="s">
        <v>129</v>
      </c>
      <c r="C73" s="56"/>
      <c r="D73" s="40"/>
      <c r="E73" s="162"/>
      <c r="F73" s="163"/>
    </row>
    <row r="74" spans="1:8" s="68" customFormat="1">
      <c r="A74" s="126"/>
      <c r="B74" s="32" t="s">
        <v>75</v>
      </c>
      <c r="C74" s="56" t="s">
        <v>76</v>
      </c>
      <c r="D74" s="40">
        <v>1</v>
      </c>
      <c r="E74" s="162"/>
      <c r="F74" s="163"/>
    </row>
    <row r="75" spans="1:8" s="68" customFormat="1">
      <c r="A75" s="124"/>
      <c r="B75" s="53"/>
      <c r="C75" s="52"/>
      <c r="D75" s="41"/>
      <c r="E75" s="160"/>
      <c r="F75" s="163"/>
    </row>
    <row r="76" spans="1:8" s="68" customFormat="1" ht="75">
      <c r="A76" s="23">
        <f>COUNT($A$5:A75)+1</f>
        <v>11</v>
      </c>
      <c r="B76" s="32" t="s">
        <v>856</v>
      </c>
      <c r="C76" s="56"/>
      <c r="D76" s="40"/>
      <c r="E76" s="162"/>
      <c r="F76" s="163"/>
      <c r="G76" s="2"/>
      <c r="H76" s="8"/>
    </row>
    <row r="77" spans="1:8" s="68" customFormat="1">
      <c r="A77" s="126"/>
      <c r="B77" s="32" t="s">
        <v>75</v>
      </c>
      <c r="C77" s="56" t="s">
        <v>76</v>
      </c>
      <c r="D77" s="40">
        <v>1</v>
      </c>
      <c r="E77" s="162"/>
      <c r="F77" s="163"/>
      <c r="G77" s="2"/>
    </row>
    <row r="78" spans="1:8" s="68" customFormat="1">
      <c r="A78" s="124"/>
      <c r="B78" s="53"/>
      <c r="C78" s="52"/>
      <c r="D78" s="41"/>
      <c r="E78" s="160"/>
      <c r="F78" s="163"/>
    </row>
    <row r="79" spans="1:8" s="68" customFormat="1" ht="60">
      <c r="A79" s="23">
        <f>COUNT($A$5:A78)+1</f>
        <v>12</v>
      </c>
      <c r="B79" s="32" t="s">
        <v>857</v>
      </c>
      <c r="C79" s="56"/>
      <c r="D79" s="40"/>
      <c r="E79" s="162"/>
      <c r="F79" s="163"/>
      <c r="H79" s="8"/>
    </row>
    <row r="80" spans="1:8" s="68" customFormat="1">
      <c r="A80" s="126"/>
      <c r="B80" s="32" t="s">
        <v>75</v>
      </c>
      <c r="C80" s="56" t="s">
        <v>76</v>
      </c>
      <c r="D80" s="40">
        <v>1</v>
      </c>
      <c r="E80" s="162"/>
      <c r="F80" s="163"/>
    </row>
    <row r="81" spans="1:7" s="68" customFormat="1">
      <c r="A81" s="126"/>
      <c r="B81" s="32"/>
      <c r="C81" s="56"/>
      <c r="D81" s="40"/>
      <c r="E81" s="162"/>
      <c r="F81" s="163"/>
    </row>
    <row r="82" spans="1:7" s="68" customFormat="1" ht="75">
      <c r="A82" s="23">
        <f>COUNT($A$5:A81)+1</f>
        <v>13</v>
      </c>
      <c r="B82" s="32" t="s">
        <v>992</v>
      </c>
      <c r="C82" s="56"/>
      <c r="D82" s="40"/>
      <c r="E82" s="162"/>
      <c r="F82" s="163"/>
    </row>
    <row r="83" spans="1:7" s="68" customFormat="1" ht="45">
      <c r="A83" s="23"/>
      <c r="B83" s="32" t="s">
        <v>993</v>
      </c>
      <c r="C83" s="56"/>
      <c r="D83" s="40"/>
      <c r="E83" s="162"/>
      <c r="F83" s="163"/>
    </row>
    <row r="84" spans="1:7" s="68" customFormat="1">
      <c r="A84" s="23"/>
      <c r="B84" s="32" t="s">
        <v>994</v>
      </c>
      <c r="C84" s="56"/>
      <c r="D84" s="40"/>
      <c r="E84" s="162"/>
      <c r="F84" s="163"/>
    </row>
    <row r="85" spans="1:7" s="68" customFormat="1">
      <c r="A85" s="23"/>
      <c r="B85" s="32" t="s">
        <v>995</v>
      </c>
      <c r="C85" s="56" t="s">
        <v>11</v>
      </c>
      <c r="D85" s="40">
        <f>(57.57*6+32.31*2+31.8*2+23.81*2+18.63*2+1.52*5.6*2+1.88*5*2+3.35*5*2+14.16*5*2+8.96*5*2)*1.05</f>
        <v>901.99620000000004</v>
      </c>
      <c r="E85" s="162"/>
      <c r="F85" s="163"/>
    </row>
    <row r="86" spans="1:7" s="68" customFormat="1">
      <c r="A86" s="23"/>
      <c r="B86" s="32" t="s">
        <v>996</v>
      </c>
      <c r="C86" s="56" t="s">
        <v>11</v>
      </c>
      <c r="D86" s="40">
        <f>(57.57*6+32.31*2+31.8*2+23.81*2+18.63*2+1.52*5.6*2+1.88*5*2+3.35*5*2+14.16*5*2+8.96*5*2)*1.05</f>
        <v>901.99620000000004</v>
      </c>
      <c r="E86" s="162"/>
      <c r="F86" s="163"/>
    </row>
    <row r="87" spans="1:7" s="68" customFormat="1">
      <c r="A87" s="126"/>
      <c r="B87" s="32"/>
      <c r="C87" s="31"/>
      <c r="D87" s="105"/>
      <c r="E87" s="165"/>
      <c r="F87" s="163"/>
    </row>
    <row r="88" spans="1:7" s="68" customFormat="1" ht="90">
      <c r="A88" s="23">
        <f>COUNT($A$5:A87)+1</f>
        <v>14</v>
      </c>
      <c r="B88" s="32" t="s">
        <v>858</v>
      </c>
      <c r="C88" s="31"/>
      <c r="D88" s="105"/>
      <c r="E88" s="165"/>
      <c r="F88" s="163"/>
    </row>
    <row r="89" spans="1:7" s="68" customFormat="1" ht="45">
      <c r="A89" s="126"/>
      <c r="B89" s="32" t="s">
        <v>823</v>
      </c>
      <c r="C89" s="31"/>
      <c r="D89" s="105"/>
      <c r="E89" s="165"/>
      <c r="F89" s="163"/>
    </row>
    <row r="90" spans="1:7" s="68" customFormat="1" ht="180">
      <c r="A90" s="126"/>
      <c r="B90" s="32" t="s">
        <v>861</v>
      </c>
      <c r="C90" s="31"/>
      <c r="D90" s="105"/>
      <c r="E90" s="165"/>
      <c r="F90" s="163"/>
    </row>
    <row r="91" spans="1:7" s="68" customFormat="1">
      <c r="A91" s="126"/>
      <c r="B91" s="32" t="s">
        <v>859</v>
      </c>
      <c r="C91" s="56" t="s">
        <v>11</v>
      </c>
      <c r="D91" s="40">
        <v>902</v>
      </c>
      <c r="E91" s="162"/>
      <c r="F91" s="163"/>
    </row>
    <row r="92" spans="1:7" s="68" customFormat="1">
      <c r="A92" s="126"/>
      <c r="B92" s="32"/>
      <c r="C92" s="52"/>
      <c r="D92" s="41"/>
      <c r="E92" s="162"/>
      <c r="F92" s="163"/>
    </row>
    <row r="93" spans="1:7" s="68" customFormat="1" ht="45">
      <c r="A93" s="23">
        <f>COUNT($A$5:A92)+1</f>
        <v>15</v>
      </c>
      <c r="B93" s="150" t="s">
        <v>986</v>
      </c>
      <c r="C93" s="52"/>
      <c r="D93" s="41"/>
      <c r="E93" s="162"/>
      <c r="F93" s="163"/>
    </row>
    <row r="94" spans="1:7" s="68" customFormat="1" ht="135">
      <c r="A94" s="23"/>
      <c r="B94" s="150" t="s">
        <v>987</v>
      </c>
      <c r="C94" s="52"/>
      <c r="D94" s="41"/>
      <c r="E94" s="162"/>
      <c r="F94" s="163"/>
    </row>
    <row r="95" spans="1:7" s="68" customFormat="1" ht="255">
      <c r="A95" s="23"/>
      <c r="B95" s="150" t="s">
        <v>988</v>
      </c>
      <c r="C95" s="52"/>
      <c r="D95" s="41"/>
      <c r="E95" s="162"/>
      <c r="F95" s="163"/>
    </row>
    <row r="96" spans="1:7" s="57" customFormat="1" ht="30">
      <c r="A96" s="149"/>
      <c r="B96" s="57" t="s">
        <v>491</v>
      </c>
      <c r="C96" s="78" t="s">
        <v>18</v>
      </c>
      <c r="D96" s="141">
        <v>1</v>
      </c>
      <c r="E96" s="178"/>
      <c r="F96" s="183"/>
      <c r="G96" s="78"/>
    </row>
    <row r="97" spans="1:7" s="68" customFormat="1">
      <c r="A97" s="124"/>
      <c r="B97" s="37"/>
    </row>
    <row r="98" spans="1:7" s="68" customFormat="1">
      <c r="A98" s="23">
        <f>COUNT($A$5:A97)+1</f>
        <v>16</v>
      </c>
      <c r="B98" s="150" t="s">
        <v>822</v>
      </c>
      <c r="C98" s="52"/>
      <c r="D98" s="41"/>
      <c r="E98" s="160"/>
      <c r="F98" s="161"/>
    </row>
    <row r="99" spans="1:7" s="57" customFormat="1" ht="270">
      <c r="A99" s="149"/>
      <c r="B99" s="150" t="s">
        <v>860</v>
      </c>
      <c r="C99" s="58"/>
      <c r="D99" s="130"/>
      <c r="E99" s="179"/>
      <c r="F99" s="183"/>
      <c r="G99" s="78"/>
    </row>
    <row r="100" spans="1:7" ht="60">
      <c r="A100" s="126"/>
      <c r="B100" s="32" t="s">
        <v>991</v>
      </c>
      <c r="C100" s="56"/>
      <c r="E100" s="162"/>
      <c r="F100" s="162"/>
    </row>
    <row r="101" spans="1:7" s="57" customFormat="1" ht="45">
      <c r="A101" s="149"/>
      <c r="B101" s="150" t="s">
        <v>641</v>
      </c>
      <c r="C101" s="58"/>
      <c r="D101" s="130"/>
      <c r="E101" s="179"/>
      <c r="F101" s="183"/>
      <c r="G101" s="78"/>
    </row>
    <row r="102" spans="1:7" s="57" customFormat="1" ht="75">
      <c r="A102" s="149"/>
      <c r="B102" s="150" t="s">
        <v>642</v>
      </c>
      <c r="C102" s="58"/>
      <c r="D102" s="130"/>
      <c r="E102" s="179"/>
      <c r="F102" s="183"/>
      <c r="G102" s="78"/>
    </row>
    <row r="103" spans="1:7" s="57" customFormat="1" ht="30">
      <c r="A103" s="149"/>
      <c r="B103" s="57" t="s">
        <v>491</v>
      </c>
      <c r="C103" s="78" t="s">
        <v>18</v>
      </c>
      <c r="D103" s="141">
        <v>1</v>
      </c>
      <c r="E103" s="178"/>
      <c r="F103" s="183"/>
      <c r="G103" s="78"/>
    </row>
    <row r="104" spans="1:7" s="68" customFormat="1">
      <c r="A104" s="124"/>
      <c r="B104" s="37"/>
      <c r="C104" s="52"/>
      <c r="D104" s="41"/>
      <c r="E104" s="160"/>
      <c r="F104" s="161"/>
    </row>
    <row r="105" spans="1:7" s="68" customFormat="1">
      <c r="A105" s="124"/>
      <c r="B105" s="37"/>
      <c r="C105" s="52"/>
      <c r="D105" s="41"/>
      <c r="E105" s="160"/>
      <c r="F105" s="161"/>
    </row>
    <row r="106" spans="1:7" s="57" customFormat="1" ht="30">
      <c r="A106" s="133">
        <f>COUNT($A$5:A97)+1</f>
        <v>16</v>
      </c>
      <c r="B106" s="150" t="s">
        <v>862</v>
      </c>
      <c r="C106" s="58"/>
      <c r="D106" s="130"/>
      <c r="E106" s="179"/>
      <c r="F106" s="183"/>
      <c r="G106" s="79"/>
    </row>
    <row r="107" spans="1:7" s="57" customFormat="1" ht="240">
      <c r="A107" s="149"/>
      <c r="B107" s="150" t="s">
        <v>863</v>
      </c>
      <c r="C107" s="58"/>
      <c r="D107" s="130"/>
      <c r="E107" s="179"/>
      <c r="F107" s="183"/>
      <c r="G107" s="78"/>
    </row>
    <row r="108" spans="1:7" s="57" customFormat="1" ht="45">
      <c r="A108" s="149"/>
      <c r="B108" s="150" t="s">
        <v>641</v>
      </c>
      <c r="C108" s="58"/>
      <c r="D108" s="130"/>
      <c r="E108" s="179"/>
      <c r="F108" s="183"/>
      <c r="G108" s="78"/>
    </row>
    <row r="109" spans="1:7" s="57" customFormat="1" ht="75">
      <c r="A109" s="149"/>
      <c r="B109" s="150" t="s">
        <v>642</v>
      </c>
      <c r="C109" s="58"/>
      <c r="D109" s="130"/>
      <c r="E109" s="179"/>
      <c r="F109" s="183"/>
      <c r="G109" s="78"/>
    </row>
    <row r="110" spans="1:7" s="57" customFormat="1" ht="30">
      <c r="A110" s="149"/>
      <c r="B110" s="57" t="s">
        <v>491</v>
      </c>
      <c r="C110" s="78" t="s">
        <v>18</v>
      </c>
      <c r="D110" s="141">
        <v>1</v>
      </c>
      <c r="E110" s="178"/>
      <c r="F110" s="183"/>
      <c r="G110" s="78"/>
    </row>
    <row r="111" spans="1:7" s="68" customFormat="1">
      <c r="A111" s="126"/>
      <c r="B111" s="54"/>
      <c r="C111" s="56"/>
      <c r="D111" s="40"/>
      <c r="E111" s="162"/>
      <c r="F111" s="163"/>
    </row>
    <row r="112" spans="1:7" s="68" customFormat="1" ht="75">
      <c r="A112" s="23">
        <f>COUNT($A$5:A111)+1</f>
        <v>18</v>
      </c>
      <c r="B112" s="32" t="s">
        <v>864</v>
      </c>
      <c r="C112" s="31"/>
      <c r="D112" s="105"/>
      <c r="E112" s="165"/>
      <c r="F112" s="163"/>
    </row>
    <row r="113" spans="1:6" s="68" customFormat="1" ht="30">
      <c r="A113" s="126"/>
      <c r="B113" s="32" t="s">
        <v>382</v>
      </c>
      <c r="C113" s="31"/>
      <c r="D113" s="105"/>
      <c r="E113" s="165"/>
      <c r="F113" s="163"/>
    </row>
    <row r="114" spans="1:6" s="68" customFormat="1">
      <c r="A114" s="126"/>
      <c r="B114" s="32" t="s">
        <v>295</v>
      </c>
      <c r="C114" s="56" t="s">
        <v>18</v>
      </c>
      <c r="D114" s="40">
        <v>1</v>
      </c>
      <c r="E114" s="162"/>
      <c r="F114" s="163"/>
    </row>
    <row r="115" spans="1:6" s="68" customFormat="1">
      <c r="A115" s="126"/>
      <c r="B115" s="54"/>
      <c r="C115" s="56"/>
      <c r="D115" s="40"/>
      <c r="E115" s="162"/>
      <c r="F115" s="163"/>
    </row>
    <row r="116" spans="1:6" s="68" customFormat="1" ht="30">
      <c r="A116" s="23">
        <f>COUNT($A$5:A115)+1</f>
        <v>19</v>
      </c>
      <c r="B116" s="32" t="s">
        <v>391</v>
      </c>
      <c r="C116" s="56"/>
      <c r="D116" s="40"/>
      <c r="E116" s="162"/>
      <c r="F116" s="163"/>
    </row>
    <row r="117" spans="1:6" s="68" customFormat="1" ht="75">
      <c r="A117" s="126"/>
      <c r="B117" s="32" t="s">
        <v>392</v>
      </c>
      <c r="C117" s="56"/>
      <c r="D117" s="40"/>
      <c r="E117" s="162"/>
      <c r="F117" s="163"/>
    </row>
    <row r="118" spans="1:6" s="68" customFormat="1" ht="30">
      <c r="A118" s="126"/>
      <c r="B118" s="32" t="s">
        <v>128</v>
      </c>
      <c r="C118" s="56" t="s">
        <v>18</v>
      </c>
      <c r="D118" s="40">
        <v>5</v>
      </c>
      <c r="E118" s="162"/>
      <c r="F118" s="163"/>
    </row>
    <row r="119" spans="1:6" s="68" customFormat="1">
      <c r="A119" s="126"/>
      <c r="B119" s="32"/>
      <c r="C119" s="56"/>
      <c r="D119" s="40"/>
      <c r="E119" s="162"/>
      <c r="F119" s="163"/>
    </row>
    <row r="120" spans="1:6">
      <c r="A120" s="23">
        <f>COUNT($A$5:A118)+1</f>
        <v>20</v>
      </c>
      <c r="B120" s="1" t="s">
        <v>953</v>
      </c>
      <c r="C120" s="2"/>
      <c r="E120" s="162"/>
    </row>
    <row r="121" spans="1:6" ht="135">
      <c r="B121" s="1" t="s">
        <v>955</v>
      </c>
      <c r="C121" s="2"/>
      <c r="E121" s="162"/>
    </row>
    <row r="122" spans="1:6">
      <c r="B122" s="1" t="s">
        <v>954</v>
      </c>
      <c r="C122" s="2" t="s">
        <v>18</v>
      </c>
      <c r="D122" s="40">
        <v>1</v>
      </c>
      <c r="E122" s="162"/>
    </row>
    <row r="123" spans="1:6" s="68" customFormat="1">
      <c r="A123" s="126"/>
      <c r="B123" s="32"/>
      <c r="C123" s="56"/>
      <c r="D123" s="40"/>
      <c r="E123" s="162"/>
      <c r="F123" s="163"/>
    </row>
    <row r="124" spans="1:6" s="68" customFormat="1">
      <c r="A124" s="124"/>
      <c r="B124" s="37"/>
      <c r="C124" s="52"/>
      <c r="D124" s="41"/>
      <c r="E124" s="160"/>
      <c r="F124" s="161"/>
    </row>
    <row r="125" spans="1:6" s="68" customFormat="1" ht="24" customHeight="1">
      <c r="A125" s="23">
        <f>COUNT($A$5:A124)+1</f>
        <v>21</v>
      </c>
      <c r="B125" s="25" t="s">
        <v>1574</v>
      </c>
      <c r="C125" s="56"/>
      <c r="D125" s="40"/>
      <c r="E125" s="162"/>
      <c r="F125" s="163"/>
    </row>
    <row r="126" spans="1:6" s="68" customFormat="1" ht="173.25" customHeight="1">
      <c r="A126" s="23"/>
      <c r="B126" s="32" t="s">
        <v>1573</v>
      </c>
      <c r="C126" s="56"/>
      <c r="D126" s="40"/>
      <c r="E126" s="162"/>
      <c r="F126" s="163"/>
    </row>
    <row r="127" spans="1:6" s="68" customFormat="1">
      <c r="A127" s="126"/>
      <c r="B127" s="32" t="s">
        <v>1575</v>
      </c>
    </row>
    <row r="128" spans="1:6" s="68" customFormat="1">
      <c r="A128" s="126"/>
      <c r="B128" s="32" t="s">
        <v>1576</v>
      </c>
      <c r="C128" s="56" t="s">
        <v>18</v>
      </c>
      <c r="D128" s="40">
        <v>1</v>
      </c>
      <c r="E128" s="162"/>
      <c r="F128" s="163"/>
    </row>
    <row r="129" spans="1:7" s="68" customFormat="1">
      <c r="A129" s="126"/>
      <c r="B129" s="32" t="s">
        <v>1577</v>
      </c>
      <c r="C129" s="56" t="s">
        <v>18</v>
      </c>
      <c r="D129" s="40">
        <v>1</v>
      </c>
      <c r="E129" s="162"/>
      <c r="F129" s="163"/>
    </row>
    <row r="130" spans="1:7" s="68" customFormat="1">
      <c r="A130" s="124"/>
      <c r="B130" s="37"/>
      <c r="C130" s="52"/>
      <c r="D130" s="41"/>
      <c r="E130" s="160"/>
      <c r="F130" s="161"/>
    </row>
    <row r="131" spans="1:7" s="68" customFormat="1">
      <c r="A131" s="23">
        <f>COUNT($A$5:A130)+1</f>
        <v>22</v>
      </c>
      <c r="B131" s="150" t="s">
        <v>1724</v>
      </c>
      <c r="C131" s="52"/>
      <c r="D131" s="41"/>
      <c r="E131" s="162"/>
      <c r="F131" s="163"/>
    </row>
    <row r="132" spans="1:7" s="68" customFormat="1" ht="120">
      <c r="A132" s="23"/>
      <c r="B132" s="150" t="s">
        <v>1725</v>
      </c>
      <c r="C132" s="52"/>
      <c r="D132" s="41"/>
      <c r="E132" s="162"/>
      <c r="F132" s="163"/>
    </row>
    <row r="133" spans="1:7" s="68" customFormat="1" ht="30">
      <c r="A133" s="23"/>
      <c r="B133" s="150" t="s">
        <v>1726</v>
      </c>
      <c r="C133" s="52"/>
      <c r="D133" s="41"/>
      <c r="E133" s="162"/>
      <c r="F133" s="163"/>
    </row>
    <row r="134" spans="1:7" s="68" customFormat="1" ht="30">
      <c r="A134" s="23"/>
      <c r="B134" s="150" t="s">
        <v>1635</v>
      </c>
      <c r="C134" s="52"/>
      <c r="D134" s="41"/>
      <c r="E134" s="162"/>
      <c r="F134" s="163"/>
    </row>
    <row r="135" spans="1:7" s="57" customFormat="1" ht="30">
      <c r="A135" s="149"/>
      <c r="B135" s="57" t="s">
        <v>1636</v>
      </c>
      <c r="C135" s="78" t="s">
        <v>283</v>
      </c>
      <c r="D135" s="141">
        <v>1</v>
      </c>
      <c r="E135" s="178"/>
      <c r="F135" s="183"/>
      <c r="G135" s="78"/>
    </row>
    <row r="136" spans="1:7" s="68" customFormat="1">
      <c r="A136" s="123"/>
      <c r="B136" s="37"/>
      <c r="C136" s="52"/>
      <c r="D136" s="41"/>
      <c r="E136" s="160"/>
      <c r="F136" s="161"/>
    </row>
    <row r="137" spans="1:7" s="68" customFormat="1">
      <c r="A137" s="124"/>
      <c r="B137" s="37"/>
      <c r="C137" s="52"/>
      <c r="D137" s="41"/>
      <c r="E137" s="160"/>
      <c r="F137" s="161"/>
    </row>
    <row r="139" spans="1:7">
      <c r="A139" s="123"/>
      <c r="B139" s="4"/>
      <c r="C139" s="42"/>
      <c r="D139" s="41"/>
      <c r="E139" s="160"/>
      <c r="F139" s="160"/>
    </row>
    <row r="140" spans="1:7">
      <c r="A140" s="172" t="s">
        <v>136</v>
      </c>
      <c r="B140" s="173" t="s">
        <v>242</v>
      </c>
      <c r="C140" s="174"/>
      <c r="D140" s="175"/>
      <c r="E140" s="176"/>
      <c r="F140" s="177"/>
    </row>
    <row r="141" spans="1:7">
      <c r="A141" s="123"/>
      <c r="E141" s="162"/>
      <c r="F141" s="162"/>
    </row>
    <row r="142" spans="1:7">
      <c r="A142" s="123"/>
      <c r="B142" s="4"/>
      <c r="C142" s="42"/>
      <c r="D142" s="41"/>
      <c r="E142" s="160"/>
      <c r="F142" s="160"/>
    </row>
    <row r="143" spans="1:7">
      <c r="A143" s="123"/>
      <c r="B143" s="4"/>
      <c r="C143" s="42"/>
      <c r="D143" s="41"/>
      <c r="E143" s="160"/>
      <c r="F143" s="160"/>
    </row>
    <row r="144" spans="1:7">
      <c r="A144" s="123"/>
      <c r="B144" s="4"/>
      <c r="C144" s="42"/>
      <c r="D144" s="41"/>
      <c r="E144" s="160"/>
      <c r="F144" s="160"/>
    </row>
    <row r="145" spans="1:6">
      <c r="A145" s="123"/>
      <c r="B145" s="4"/>
      <c r="C145" s="42"/>
      <c r="D145" s="41"/>
      <c r="E145" s="160"/>
      <c r="F145" s="160"/>
    </row>
    <row r="146" spans="1:6">
      <c r="A146" s="123"/>
      <c r="B146" s="4"/>
      <c r="C146" s="42"/>
      <c r="D146" s="41"/>
      <c r="E146" s="160"/>
      <c r="F146" s="160"/>
    </row>
    <row r="147" spans="1:6">
      <c r="A147" s="123"/>
      <c r="B147" s="4"/>
      <c r="C147" s="42"/>
      <c r="D147" s="41"/>
      <c r="E147" s="160"/>
      <c r="F147" s="160"/>
    </row>
    <row r="148" spans="1:6">
      <c r="A148" s="123"/>
      <c r="B148" s="4"/>
      <c r="C148" s="42"/>
      <c r="D148" s="41"/>
      <c r="E148" s="160"/>
      <c r="F148" s="160"/>
    </row>
    <row r="149" spans="1:6">
      <c r="A149" s="123"/>
      <c r="B149" s="4"/>
      <c r="C149" s="42"/>
      <c r="D149" s="41"/>
      <c r="E149" s="160"/>
      <c r="F149" s="160"/>
    </row>
    <row r="150" spans="1:6">
      <c r="A150" s="123"/>
      <c r="B150" s="4"/>
      <c r="C150" s="42"/>
      <c r="D150" s="41"/>
      <c r="E150" s="160"/>
      <c r="F150" s="160"/>
    </row>
    <row r="151" spans="1:6">
      <c r="A151" s="123"/>
      <c r="B151" s="4"/>
      <c r="C151" s="42"/>
      <c r="D151" s="41"/>
      <c r="E151" s="160"/>
      <c r="F151" s="160"/>
    </row>
    <row r="152" spans="1:6">
      <c r="A152" s="123"/>
      <c r="B152" s="4"/>
      <c r="C152" s="42"/>
      <c r="D152" s="41"/>
      <c r="E152" s="160"/>
      <c r="F152" s="160"/>
    </row>
    <row r="153" spans="1:6">
      <c r="A153" s="123"/>
      <c r="B153" s="4"/>
      <c r="C153" s="42"/>
      <c r="D153" s="41"/>
      <c r="E153" s="160"/>
      <c r="F153" s="160"/>
    </row>
    <row r="154" spans="1:6">
      <c r="A154" s="123"/>
      <c r="B154" s="4"/>
      <c r="C154" s="42"/>
      <c r="D154" s="41"/>
      <c r="E154" s="160"/>
      <c r="F154" s="160"/>
    </row>
    <row r="155" spans="1:6">
      <c r="A155" s="123"/>
      <c r="B155" s="51"/>
      <c r="C155" s="42"/>
      <c r="D155" s="41"/>
      <c r="E155" s="160"/>
      <c r="F155" s="160"/>
    </row>
    <row r="156" spans="1:6" ht="110.25" customHeight="1">
      <c r="A156" s="123"/>
      <c r="B156" s="4"/>
      <c r="C156" s="42"/>
      <c r="D156" s="41"/>
      <c r="E156" s="160"/>
      <c r="F156" s="160"/>
    </row>
    <row r="157" spans="1:6">
      <c r="A157" s="123"/>
      <c r="B157" s="4"/>
      <c r="C157" s="42"/>
      <c r="D157" s="41"/>
      <c r="E157" s="160"/>
      <c r="F157" s="160"/>
    </row>
    <row r="158" spans="1:6">
      <c r="A158" s="123"/>
      <c r="B158" s="4"/>
      <c r="C158" s="42"/>
      <c r="D158" s="41"/>
      <c r="E158" s="160"/>
      <c r="F158" s="160"/>
    </row>
    <row r="159" spans="1:6">
      <c r="A159" s="123"/>
      <c r="B159" s="4"/>
      <c r="C159" s="42"/>
      <c r="D159" s="41"/>
      <c r="E159" s="160"/>
      <c r="F159" s="160"/>
    </row>
    <row r="160" spans="1:6">
      <c r="A160" s="123"/>
      <c r="B160" s="4"/>
      <c r="C160" s="42"/>
      <c r="D160" s="41"/>
      <c r="E160" s="160"/>
      <c r="F160" s="160"/>
    </row>
    <row r="161" spans="1:6">
      <c r="A161" s="123"/>
      <c r="B161" s="4"/>
      <c r="C161" s="42"/>
      <c r="D161" s="41"/>
      <c r="E161" s="160"/>
      <c r="F161" s="160"/>
    </row>
    <row r="162" spans="1:6">
      <c r="A162" s="123"/>
      <c r="B162" s="4"/>
      <c r="C162" s="42"/>
      <c r="D162" s="41"/>
      <c r="E162" s="160"/>
      <c r="F162" s="160"/>
    </row>
    <row r="163" spans="1:6">
      <c r="A163" s="123"/>
      <c r="B163" s="4"/>
      <c r="C163" s="42"/>
      <c r="D163" s="41"/>
      <c r="E163" s="160"/>
      <c r="F163" s="160"/>
    </row>
    <row r="164" spans="1:6" ht="79.5" customHeight="1">
      <c r="A164" s="123"/>
      <c r="B164" s="4"/>
      <c r="C164" s="42"/>
      <c r="D164" s="41"/>
      <c r="E164" s="160"/>
      <c r="F164" s="160"/>
    </row>
    <row r="165" spans="1:6" ht="31.5" customHeight="1">
      <c r="A165" s="123"/>
      <c r="B165" s="4"/>
      <c r="C165" s="42"/>
      <c r="D165" s="41"/>
      <c r="E165" s="160"/>
      <c r="F165" s="161"/>
    </row>
    <row r="166" spans="1:6">
      <c r="A166" s="123"/>
      <c r="B166" s="4"/>
      <c r="C166" s="42"/>
      <c r="D166" s="41"/>
      <c r="E166" s="160"/>
      <c r="F166" s="161"/>
    </row>
    <row r="167" spans="1:6">
      <c r="A167" s="123"/>
      <c r="B167" s="4"/>
      <c r="C167" s="42"/>
      <c r="D167" s="41"/>
      <c r="E167" s="160"/>
      <c r="F167" s="161"/>
    </row>
    <row r="168" spans="1:6">
      <c r="A168" s="123"/>
      <c r="B168" s="4"/>
      <c r="C168" s="42"/>
      <c r="D168" s="41"/>
      <c r="E168" s="160"/>
      <c r="F168" s="161"/>
    </row>
    <row r="169" spans="1:6">
      <c r="A169" s="123"/>
      <c r="B169" s="4"/>
      <c r="C169" s="42"/>
      <c r="D169" s="41"/>
      <c r="E169" s="160"/>
      <c r="F169" s="161"/>
    </row>
    <row r="170" spans="1:6">
      <c r="A170" s="123"/>
      <c r="B170" s="4"/>
      <c r="C170" s="42"/>
      <c r="D170" s="41"/>
      <c r="E170" s="160"/>
      <c r="F170" s="161"/>
    </row>
    <row r="171" spans="1:6">
      <c r="A171" s="123"/>
      <c r="B171" s="4"/>
      <c r="C171" s="42"/>
      <c r="D171" s="41"/>
      <c r="E171" s="160"/>
      <c r="F171" s="161"/>
    </row>
    <row r="172" spans="1:6">
      <c r="A172" s="123"/>
      <c r="B172" s="4"/>
      <c r="C172" s="42"/>
      <c r="D172" s="41"/>
      <c r="E172" s="160"/>
      <c r="F172" s="161"/>
    </row>
    <row r="173" spans="1:6">
      <c r="A173" s="123"/>
      <c r="B173" s="4"/>
      <c r="C173" s="42"/>
      <c r="D173" s="41"/>
      <c r="E173" s="160"/>
      <c r="F173" s="161"/>
    </row>
    <row r="174" spans="1:6">
      <c r="A174" s="123"/>
      <c r="B174" s="4"/>
      <c r="C174" s="42"/>
      <c r="D174" s="41"/>
      <c r="E174" s="160"/>
      <c r="F174" s="161"/>
    </row>
    <row r="175" spans="1:6">
      <c r="A175" s="123"/>
      <c r="B175" s="4"/>
      <c r="C175" s="42"/>
      <c r="D175" s="41"/>
      <c r="E175" s="160"/>
      <c r="F175" s="161"/>
    </row>
    <row r="176" spans="1:6">
      <c r="A176" s="123"/>
      <c r="B176" s="4"/>
      <c r="C176" s="42"/>
      <c r="D176" s="41"/>
      <c r="E176" s="160"/>
      <c r="F176" s="161"/>
    </row>
    <row r="177" spans="1:6">
      <c r="A177" s="123"/>
      <c r="B177" s="4"/>
      <c r="C177" s="42"/>
      <c r="D177" s="41"/>
      <c r="E177" s="160"/>
      <c r="F177" s="161"/>
    </row>
    <row r="178" spans="1:6">
      <c r="A178" s="123"/>
      <c r="B178" s="4"/>
      <c r="C178" s="42"/>
      <c r="D178" s="41"/>
      <c r="E178" s="160"/>
      <c r="F178" s="161"/>
    </row>
    <row r="179" spans="1:6">
      <c r="A179" s="123"/>
      <c r="B179" s="4"/>
      <c r="C179" s="42"/>
      <c r="D179" s="41"/>
      <c r="E179" s="160"/>
      <c r="F179" s="161"/>
    </row>
    <row r="180" spans="1:6">
      <c r="A180" s="123"/>
      <c r="B180" s="4"/>
      <c r="C180" s="42"/>
      <c r="D180" s="41"/>
      <c r="E180" s="160"/>
      <c r="F180" s="161"/>
    </row>
    <row r="181" spans="1:6">
      <c r="A181" s="123"/>
      <c r="B181" s="4"/>
      <c r="C181" s="42"/>
      <c r="D181" s="41"/>
      <c r="E181" s="160"/>
      <c r="F181" s="161"/>
    </row>
    <row r="182" spans="1:6">
      <c r="A182" s="123"/>
      <c r="B182" s="4"/>
      <c r="C182" s="42"/>
      <c r="D182" s="41"/>
      <c r="E182" s="160"/>
      <c r="F182" s="161"/>
    </row>
    <row r="183" spans="1:6">
      <c r="A183" s="123"/>
      <c r="B183" s="4"/>
      <c r="C183" s="42"/>
      <c r="D183" s="41"/>
      <c r="E183" s="160"/>
      <c r="F183" s="161"/>
    </row>
    <row r="184" spans="1:6">
      <c r="A184" s="123"/>
      <c r="B184" s="4"/>
      <c r="C184" s="42"/>
      <c r="D184" s="41"/>
      <c r="E184" s="160"/>
      <c r="F184" s="161"/>
    </row>
    <row r="185" spans="1:6">
      <c r="A185" s="123"/>
      <c r="B185" s="4"/>
      <c r="C185" s="42"/>
      <c r="D185" s="41"/>
      <c r="E185" s="160"/>
      <c r="F185" s="161"/>
    </row>
    <row r="186" spans="1:6">
      <c r="A186" s="123"/>
      <c r="B186" s="4"/>
      <c r="C186" s="42"/>
      <c r="D186" s="41"/>
      <c r="E186" s="160"/>
      <c r="F186" s="161"/>
    </row>
    <row r="187" spans="1:6">
      <c r="A187" s="123"/>
      <c r="B187" s="4"/>
      <c r="C187" s="42"/>
      <c r="D187" s="41"/>
      <c r="E187" s="160"/>
      <c r="F187" s="161"/>
    </row>
    <row r="188" spans="1:6" ht="81" customHeight="1">
      <c r="A188" s="123"/>
      <c r="B188" s="4"/>
      <c r="C188" s="42"/>
      <c r="D188" s="41"/>
      <c r="E188" s="160"/>
      <c r="F188" s="161"/>
    </row>
    <row r="189" spans="1:6">
      <c r="E189" s="162"/>
    </row>
    <row r="190" spans="1:6" s="55" customFormat="1">
      <c r="A190" s="23"/>
      <c r="B190" s="1"/>
      <c r="C190" s="29"/>
      <c r="D190" s="40"/>
      <c r="E190" s="162"/>
      <c r="F190" s="163"/>
    </row>
    <row r="191" spans="1:6" s="55" customFormat="1">
      <c r="A191" s="23"/>
      <c r="B191" s="1"/>
      <c r="C191" s="29"/>
      <c r="D191" s="40"/>
      <c r="E191" s="162"/>
      <c r="F191" s="163"/>
    </row>
    <row r="192" spans="1:6" s="55" customFormat="1" ht="65.25" customHeight="1">
      <c r="A192" s="23"/>
      <c r="B192" s="1"/>
      <c r="C192" s="29"/>
      <c r="D192" s="40"/>
      <c r="E192" s="162"/>
      <c r="F192" s="163"/>
    </row>
    <row r="193" spans="1:6" s="55" customFormat="1">
      <c r="A193" s="23"/>
      <c r="B193" s="25"/>
      <c r="C193" s="29"/>
      <c r="D193" s="40"/>
      <c r="E193" s="162"/>
      <c r="F193" s="163"/>
    </row>
    <row r="194" spans="1:6" s="55" customFormat="1" ht="34.5" customHeight="1">
      <c r="A194" s="23"/>
      <c r="B194" s="1"/>
      <c r="C194" s="29"/>
      <c r="D194" s="40"/>
      <c r="E194" s="162"/>
      <c r="F194" s="163"/>
    </row>
    <row r="195" spans="1:6" s="55" customFormat="1">
      <c r="A195" s="23"/>
      <c r="B195" s="1"/>
      <c r="C195" s="29"/>
      <c r="D195" s="40"/>
      <c r="E195" s="162"/>
      <c r="F195" s="163"/>
    </row>
    <row r="196" spans="1:6" s="55" customFormat="1" ht="50.25" customHeight="1">
      <c r="A196" s="23"/>
      <c r="B196" s="1"/>
      <c r="C196" s="29"/>
      <c r="D196" s="40"/>
      <c r="E196" s="162"/>
      <c r="F196" s="163"/>
    </row>
    <row r="197" spans="1:6" s="55" customFormat="1" ht="50.25" customHeight="1">
      <c r="A197" s="23"/>
      <c r="B197" s="1"/>
      <c r="C197" s="29"/>
      <c r="D197" s="40"/>
      <c r="E197" s="162"/>
      <c r="F197" s="163"/>
    </row>
    <row r="198" spans="1:6" s="55" customFormat="1">
      <c r="A198" s="23"/>
      <c r="B198" s="1"/>
      <c r="C198" s="29"/>
      <c r="D198" s="40"/>
      <c r="E198" s="162"/>
      <c r="F198" s="163"/>
    </row>
    <row r="199" spans="1:6" s="55" customFormat="1">
      <c r="A199" s="23"/>
      <c r="B199" s="1"/>
      <c r="C199" s="29"/>
      <c r="D199" s="40"/>
      <c r="E199" s="162"/>
      <c r="F199" s="163"/>
    </row>
    <row r="200" spans="1:6" s="55" customFormat="1">
      <c r="A200" s="23"/>
      <c r="B200" s="1"/>
      <c r="C200" s="29"/>
      <c r="D200" s="40"/>
      <c r="E200" s="162"/>
      <c r="F200" s="163"/>
    </row>
    <row r="201" spans="1:6" s="55" customFormat="1">
      <c r="A201" s="23"/>
      <c r="B201" s="1"/>
      <c r="C201" s="29"/>
      <c r="D201" s="40"/>
      <c r="E201" s="162"/>
      <c r="F201" s="163"/>
    </row>
    <row r="202" spans="1:6" s="55" customFormat="1">
      <c r="A202" s="23"/>
      <c r="B202" s="1"/>
      <c r="C202" s="29"/>
      <c r="D202" s="40"/>
      <c r="E202" s="162"/>
      <c r="F202" s="163"/>
    </row>
    <row r="203" spans="1:6" s="55" customFormat="1">
      <c r="A203" s="23"/>
      <c r="B203" s="1"/>
      <c r="C203" s="29"/>
      <c r="D203" s="40"/>
      <c r="E203" s="162"/>
      <c r="F203" s="163"/>
    </row>
    <row r="204" spans="1:6" s="55" customFormat="1" ht="65.25" customHeight="1">
      <c r="A204" s="23"/>
      <c r="B204" s="1"/>
      <c r="C204" s="29"/>
      <c r="D204" s="40"/>
      <c r="E204" s="162"/>
      <c r="F204" s="163"/>
    </row>
    <row r="205" spans="1:6" s="55" customFormat="1">
      <c r="A205" s="23"/>
      <c r="B205" s="25"/>
      <c r="C205" s="29"/>
      <c r="D205" s="40"/>
      <c r="E205" s="162"/>
      <c r="F205" s="163"/>
    </row>
    <row r="206" spans="1:6" s="55" customFormat="1" ht="34.5" customHeight="1">
      <c r="A206" s="23"/>
      <c r="B206" s="1"/>
      <c r="C206" s="29"/>
      <c r="D206" s="40"/>
      <c r="E206" s="162"/>
      <c r="F206" s="163"/>
    </row>
    <row r="207" spans="1:6" s="55" customFormat="1">
      <c r="A207" s="23"/>
      <c r="B207" s="1"/>
      <c r="C207" s="29"/>
      <c r="D207" s="40"/>
      <c r="E207" s="162"/>
      <c r="F207" s="163"/>
    </row>
    <row r="208" spans="1:6" s="55" customFormat="1" ht="50.25" customHeight="1">
      <c r="A208" s="23"/>
      <c r="B208" s="1"/>
      <c r="C208" s="29"/>
      <c r="D208" s="40"/>
      <c r="E208" s="162"/>
      <c r="F208" s="163"/>
    </row>
    <row r="209" spans="1:6" s="55" customFormat="1" ht="50.25" customHeight="1">
      <c r="A209" s="23"/>
      <c r="B209" s="1"/>
      <c r="C209" s="29"/>
      <c r="D209" s="40"/>
      <c r="E209" s="162"/>
      <c r="F209" s="163"/>
    </row>
    <row r="210" spans="1:6" s="55" customFormat="1">
      <c r="A210" s="23"/>
      <c r="B210" s="1"/>
      <c r="C210" s="29"/>
      <c r="D210" s="40"/>
      <c r="E210" s="162"/>
      <c r="F210" s="163"/>
    </row>
    <row r="211" spans="1:6" s="55" customFormat="1">
      <c r="A211" s="23"/>
      <c r="B211" s="1"/>
      <c r="C211" s="29"/>
      <c r="D211" s="40"/>
      <c r="E211" s="162"/>
      <c r="F211" s="163"/>
    </row>
    <row r="212" spans="1:6" s="55" customFormat="1">
      <c r="A212" s="23"/>
      <c r="B212" s="1"/>
      <c r="C212" s="29"/>
      <c r="D212" s="40"/>
      <c r="E212" s="162"/>
      <c r="F212" s="163"/>
    </row>
    <row r="213" spans="1:6" s="55" customFormat="1">
      <c r="A213" s="23"/>
      <c r="B213" s="1"/>
      <c r="C213" s="29"/>
      <c r="D213" s="40"/>
      <c r="E213" s="162"/>
      <c r="F213" s="163"/>
    </row>
    <row r="214" spans="1:6" s="55" customFormat="1">
      <c r="A214" s="23"/>
      <c r="B214" s="1"/>
      <c r="C214" s="29"/>
      <c r="D214" s="40"/>
      <c r="E214" s="162"/>
      <c r="F214" s="163"/>
    </row>
    <row r="215" spans="1:6" s="55" customFormat="1">
      <c r="A215" s="23"/>
      <c r="B215" s="1"/>
      <c r="C215" s="29"/>
      <c r="D215" s="40"/>
      <c r="E215" s="162"/>
      <c r="F215" s="163"/>
    </row>
    <row r="216" spans="1:6" s="55" customFormat="1" ht="36.75" customHeight="1">
      <c r="A216" s="23"/>
      <c r="B216" s="1"/>
      <c r="C216" s="29"/>
      <c r="D216" s="40"/>
      <c r="E216" s="162"/>
      <c r="F216" s="163"/>
    </row>
    <row r="217" spans="1:6" s="55" customFormat="1">
      <c r="A217" s="23"/>
      <c r="B217" s="1"/>
      <c r="C217" s="29"/>
      <c r="D217" s="40"/>
      <c r="E217" s="162"/>
      <c r="F217" s="163"/>
    </row>
    <row r="218" spans="1:6" s="55" customFormat="1">
      <c r="A218" s="23"/>
      <c r="B218" s="1"/>
      <c r="C218" s="29"/>
      <c r="D218" s="40"/>
      <c r="E218" s="162"/>
      <c r="F218" s="163"/>
    </row>
    <row r="219" spans="1:6" s="55" customFormat="1">
      <c r="A219" s="23"/>
      <c r="B219" s="1"/>
      <c r="C219" s="29"/>
      <c r="D219" s="40"/>
      <c r="E219" s="162"/>
      <c r="F219" s="163"/>
    </row>
    <row r="220" spans="1:6" s="55" customFormat="1">
      <c r="A220" s="23"/>
      <c r="B220" s="1"/>
      <c r="C220" s="29"/>
      <c r="D220" s="40"/>
      <c r="E220" s="162"/>
      <c r="F220" s="163"/>
    </row>
    <row r="221" spans="1:6" s="55" customFormat="1">
      <c r="A221" s="23"/>
      <c r="B221" s="1"/>
      <c r="C221" s="29"/>
      <c r="D221" s="40"/>
      <c r="E221" s="162"/>
      <c r="F221" s="163"/>
    </row>
    <row r="222" spans="1:6" s="55" customFormat="1">
      <c r="A222" s="23"/>
      <c r="B222" s="1"/>
      <c r="C222" s="29"/>
      <c r="D222" s="40"/>
      <c r="E222" s="162"/>
      <c r="F222" s="163"/>
    </row>
    <row r="223" spans="1:6" s="55" customFormat="1" ht="48" customHeight="1">
      <c r="A223" s="23"/>
      <c r="B223" s="1"/>
      <c r="C223" s="29"/>
      <c r="D223" s="40"/>
      <c r="E223" s="162"/>
      <c r="F223" s="163"/>
    </row>
    <row r="224" spans="1:6" s="55" customFormat="1">
      <c r="A224" s="23"/>
      <c r="B224" s="1"/>
      <c r="C224" s="29"/>
      <c r="D224" s="40"/>
      <c r="E224" s="162"/>
      <c r="F224" s="163"/>
    </row>
    <row r="225" spans="1:6" s="55" customFormat="1" ht="48.75" customHeight="1">
      <c r="A225" s="23"/>
      <c r="B225" s="1"/>
      <c r="C225" s="29"/>
      <c r="D225" s="40"/>
      <c r="E225" s="162"/>
      <c r="F225" s="163"/>
    </row>
    <row r="226" spans="1:6" s="55" customFormat="1">
      <c r="A226" s="23"/>
      <c r="B226" s="25"/>
      <c r="C226" s="29"/>
      <c r="D226" s="40"/>
      <c r="E226" s="162"/>
      <c r="F226" s="163"/>
    </row>
    <row r="227" spans="1:6" s="55" customFormat="1" ht="83.25" customHeight="1">
      <c r="A227" s="23"/>
      <c r="B227" s="1"/>
      <c r="C227" s="29"/>
      <c r="D227" s="40"/>
      <c r="E227" s="162"/>
      <c r="F227" s="163"/>
    </row>
    <row r="228" spans="1:6" s="55" customFormat="1">
      <c r="A228" s="23"/>
      <c r="B228" s="1"/>
      <c r="C228" s="29"/>
      <c r="D228" s="40"/>
      <c r="E228" s="162"/>
      <c r="F228" s="163"/>
    </row>
    <row r="229" spans="1:6" s="55" customFormat="1">
      <c r="A229" s="23"/>
      <c r="B229" s="1"/>
      <c r="C229" s="29"/>
      <c r="D229" s="40"/>
      <c r="E229" s="162"/>
      <c r="F229" s="163"/>
    </row>
    <row r="230" spans="1:6" s="55" customFormat="1">
      <c r="A230" s="23"/>
      <c r="B230" s="1"/>
      <c r="C230" s="29"/>
      <c r="D230" s="40"/>
      <c r="E230" s="162"/>
      <c r="F230" s="163"/>
    </row>
    <row r="231" spans="1:6" s="55" customFormat="1">
      <c r="A231" s="23"/>
      <c r="B231" s="1"/>
      <c r="C231" s="29"/>
      <c r="D231" s="40"/>
      <c r="E231" s="162"/>
      <c r="F231" s="163"/>
    </row>
    <row r="232" spans="1:6" s="55" customFormat="1">
      <c r="A232" s="23"/>
      <c r="B232" s="1"/>
      <c r="C232" s="29"/>
      <c r="D232" s="40"/>
      <c r="E232" s="162"/>
      <c r="F232" s="163"/>
    </row>
    <row r="233" spans="1:6" s="55" customFormat="1">
      <c r="A233" s="23"/>
      <c r="B233" s="1"/>
      <c r="C233" s="29"/>
      <c r="D233" s="40"/>
      <c r="E233" s="162"/>
      <c r="F233" s="163"/>
    </row>
    <row r="234" spans="1:6" s="55" customFormat="1" ht="80.25" customHeight="1">
      <c r="A234" s="23"/>
      <c r="B234" s="1"/>
      <c r="C234" s="29"/>
      <c r="D234" s="40"/>
      <c r="E234" s="162"/>
      <c r="F234" s="163"/>
    </row>
    <row r="235" spans="1:6" s="55" customFormat="1">
      <c r="A235" s="23"/>
      <c r="B235" s="1"/>
      <c r="C235" s="29"/>
      <c r="D235" s="40"/>
      <c r="E235" s="162"/>
      <c r="F235" s="163"/>
    </row>
    <row r="236" spans="1:6" s="55" customFormat="1" ht="48.75" customHeight="1">
      <c r="A236" s="23"/>
      <c r="B236" s="1"/>
      <c r="C236" s="29"/>
      <c r="D236" s="40"/>
      <c r="E236" s="162"/>
      <c r="F236" s="163"/>
    </row>
    <row r="237" spans="1:6" s="55" customFormat="1">
      <c r="A237" s="23"/>
      <c r="B237" s="1"/>
      <c r="C237" s="29"/>
      <c r="D237" s="40"/>
      <c r="E237" s="162"/>
      <c r="F237" s="163"/>
    </row>
    <row r="238" spans="1:6" s="55" customFormat="1">
      <c r="A238" s="23"/>
      <c r="B238" s="4"/>
      <c r="C238" s="29"/>
      <c r="D238" s="40"/>
      <c r="E238" s="162"/>
      <c r="F238" s="163"/>
    </row>
    <row r="239" spans="1:6" s="55" customFormat="1">
      <c r="A239" s="23"/>
      <c r="B239" s="4"/>
      <c r="C239" s="29"/>
      <c r="D239" s="40"/>
      <c r="E239" s="162"/>
      <c r="F239" s="163"/>
    </row>
    <row r="240" spans="1:6" s="55" customFormat="1">
      <c r="A240" s="23"/>
      <c r="B240" s="4"/>
      <c r="C240" s="29"/>
      <c r="D240" s="40"/>
      <c r="E240" s="162"/>
      <c r="F240" s="163"/>
    </row>
    <row r="241" spans="1:6" s="55" customFormat="1">
      <c r="A241" s="23"/>
      <c r="B241" s="4"/>
      <c r="C241" s="29"/>
      <c r="D241" s="40"/>
      <c r="E241" s="162"/>
      <c r="F241" s="163"/>
    </row>
    <row r="242" spans="1:6" s="55" customFormat="1">
      <c r="A242" s="23"/>
      <c r="B242" s="4"/>
      <c r="C242" s="29"/>
      <c r="D242" s="40"/>
      <c r="E242" s="162"/>
      <c r="F242" s="163"/>
    </row>
    <row r="243" spans="1:6" s="55" customFormat="1">
      <c r="A243" s="23"/>
      <c r="B243" s="4"/>
      <c r="C243" s="29"/>
      <c r="D243" s="40"/>
      <c r="E243" s="162"/>
      <c r="F243" s="163"/>
    </row>
    <row r="244" spans="1:6" s="55" customFormat="1">
      <c r="A244" s="23"/>
      <c r="B244" s="4"/>
      <c r="C244" s="29"/>
      <c r="D244" s="40"/>
      <c r="E244" s="162"/>
      <c r="F244" s="163"/>
    </row>
    <row r="245" spans="1:6" s="55" customFormat="1">
      <c r="A245" s="23"/>
      <c r="B245" s="4"/>
      <c r="C245" s="29"/>
      <c r="D245" s="40"/>
      <c r="E245" s="162"/>
      <c r="F245" s="163"/>
    </row>
    <row r="246" spans="1:6" s="55" customFormat="1">
      <c r="A246" s="23"/>
      <c r="B246" s="1"/>
      <c r="C246" s="29"/>
      <c r="D246" s="40"/>
      <c r="E246" s="162"/>
      <c r="F246" s="163"/>
    </row>
    <row r="247" spans="1:6" s="55" customFormat="1">
      <c r="A247" s="23"/>
      <c r="B247" s="1"/>
      <c r="C247" s="29"/>
      <c r="D247" s="40"/>
      <c r="E247" s="162"/>
      <c r="F247" s="163"/>
    </row>
    <row r="248" spans="1:6" s="55" customFormat="1">
      <c r="A248" s="23"/>
      <c r="B248" s="2"/>
      <c r="C248" s="29"/>
      <c r="D248" s="40"/>
      <c r="E248" s="162"/>
      <c r="F248" s="163"/>
    </row>
  </sheetData>
  <pageMargins left="0.70866141732283472" right="0.70866141732283472" top="0.80500000000000005" bottom="0.74803149606299213" header="0.31496062992125984" footer="0.31496062992125984"/>
  <pageSetup paperSize="9" scale="81"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rowBreaks count="5" manualBreakCount="5">
    <brk id="21" max="16383" man="1"/>
    <brk id="34" max="16383" man="1"/>
    <brk id="55" max="16383" man="1"/>
    <brk id="71" max="16383" man="1"/>
    <brk id="115" max="5" man="1"/>
  </rowBreaks>
</worksheet>
</file>

<file path=xl/worksheets/sheet5.xml><?xml version="1.0" encoding="utf-8"?>
<worksheet xmlns="http://schemas.openxmlformats.org/spreadsheetml/2006/main" xmlns:r="http://schemas.openxmlformats.org/officeDocument/2006/relationships">
  <sheetPr>
    <tabColor rgb="FFFFC000"/>
  </sheetPr>
  <dimension ref="A1:F334"/>
  <sheetViews>
    <sheetView showZeros="0" view="pageBreakPreview" zoomScale="85" zoomScaleNormal="85" zoomScaleSheetLayoutView="85" workbookViewId="0">
      <selection activeCell="E3" sqref="E3:F289"/>
    </sheetView>
  </sheetViews>
  <sheetFormatPr defaultColWidth="8.85546875" defaultRowHeight="15"/>
  <cols>
    <col min="1" max="1" width="8.7109375" style="23" customWidth="1"/>
    <col min="2" max="2" width="45.140625" style="1" customWidth="1"/>
    <col min="3" max="3" width="8.5703125" style="2" customWidth="1"/>
    <col min="4" max="4" width="10.7109375" style="40" customWidth="1"/>
    <col min="5" max="5" width="13.7109375" style="163" customWidth="1"/>
    <col min="6" max="6" width="16.7109375" style="163" customWidth="1"/>
    <col min="7" max="17" width="8.85546875" style="2"/>
    <col min="18" max="18" width="43" style="2" customWidth="1"/>
    <col min="19" max="16384" width="8.85546875" style="2"/>
  </cols>
  <sheetData>
    <row r="1" spans="1:6">
      <c r="A1" s="118" t="s">
        <v>260</v>
      </c>
      <c r="B1" s="107" t="s">
        <v>261</v>
      </c>
      <c r="C1" s="64" t="s">
        <v>262</v>
      </c>
      <c r="D1" s="114" t="s">
        <v>263</v>
      </c>
      <c r="E1" s="158" t="s">
        <v>264</v>
      </c>
      <c r="F1" s="159" t="s">
        <v>265</v>
      </c>
    </row>
    <row r="3" spans="1:6">
      <c r="A3" s="17" t="s">
        <v>138</v>
      </c>
      <c r="B3" s="25" t="s">
        <v>349</v>
      </c>
      <c r="E3" s="162"/>
    </row>
    <row r="4" spans="1:6">
      <c r="E4" s="162"/>
    </row>
    <row r="5" spans="1:6">
      <c r="E5" s="162"/>
    </row>
    <row r="6" spans="1:6">
      <c r="B6" s="25" t="s">
        <v>266</v>
      </c>
      <c r="E6" s="162"/>
    </row>
    <row r="7" spans="1:6" ht="60">
      <c r="B7" s="1" t="s">
        <v>361</v>
      </c>
      <c r="E7" s="162"/>
    </row>
    <row r="8" spans="1:6" ht="120">
      <c r="B8" s="1" t="s">
        <v>366</v>
      </c>
      <c r="E8" s="162"/>
    </row>
    <row r="9" spans="1:6" ht="150">
      <c r="B9" s="1" t="s">
        <v>1578</v>
      </c>
      <c r="E9" s="162"/>
    </row>
    <row r="10" spans="1:6" ht="90">
      <c r="B10" s="1" t="s">
        <v>814</v>
      </c>
      <c r="E10" s="162"/>
    </row>
    <row r="11" spans="1:6" ht="60">
      <c r="A11" s="126"/>
      <c r="B11" s="32" t="s">
        <v>989</v>
      </c>
      <c r="C11" s="56"/>
      <c r="E11" s="162"/>
      <c r="F11" s="162"/>
    </row>
    <row r="13" spans="1:6">
      <c r="E13" s="162"/>
    </row>
    <row r="14" spans="1:6" ht="30">
      <c r="A14" s="23">
        <f>COUNT($A$5:A10)+1</f>
        <v>1</v>
      </c>
      <c r="B14" s="25" t="s">
        <v>875</v>
      </c>
      <c r="E14" s="162"/>
    </row>
    <row r="15" spans="1:6" ht="120">
      <c r="B15" s="32" t="s">
        <v>873</v>
      </c>
      <c r="E15" s="162"/>
    </row>
    <row r="16" spans="1:6" ht="135">
      <c r="B16" s="32" t="s">
        <v>865</v>
      </c>
      <c r="E16" s="162"/>
    </row>
    <row r="17" spans="1:6">
      <c r="B17" s="32" t="s">
        <v>874</v>
      </c>
      <c r="E17" s="162"/>
    </row>
    <row r="18" spans="1:6">
      <c r="B18" s="1" t="s">
        <v>295</v>
      </c>
      <c r="D18" s="2"/>
      <c r="E18" s="2"/>
      <c r="F18" s="2"/>
    </row>
    <row r="19" spans="1:6">
      <c r="B19" s="1" t="s">
        <v>866</v>
      </c>
      <c r="C19" s="2" t="s">
        <v>18</v>
      </c>
      <c r="D19" s="40">
        <v>3</v>
      </c>
      <c r="E19" s="162"/>
    </row>
    <row r="20" spans="1:6">
      <c r="B20" s="1" t="s">
        <v>867</v>
      </c>
      <c r="C20" s="2" t="s">
        <v>18</v>
      </c>
      <c r="D20" s="40">
        <v>8</v>
      </c>
      <c r="E20" s="162"/>
    </row>
    <row r="21" spans="1:6">
      <c r="B21" s="1" t="s">
        <v>868</v>
      </c>
      <c r="C21" s="2" t="s">
        <v>18</v>
      </c>
      <c r="D21" s="40">
        <v>6</v>
      </c>
      <c r="E21" s="162"/>
    </row>
    <row r="22" spans="1:6">
      <c r="B22" s="1" t="s">
        <v>871</v>
      </c>
      <c r="C22" s="2" t="s">
        <v>18</v>
      </c>
      <c r="D22" s="40">
        <v>1</v>
      </c>
      <c r="E22" s="162"/>
    </row>
    <row r="23" spans="1:6">
      <c r="B23" s="1" t="s">
        <v>869</v>
      </c>
      <c r="C23" s="2" t="s">
        <v>18</v>
      </c>
      <c r="D23" s="40">
        <v>1</v>
      </c>
      <c r="E23" s="162"/>
    </row>
    <row r="24" spans="1:6">
      <c r="B24" s="1" t="s">
        <v>870</v>
      </c>
      <c r="C24" s="2" t="s">
        <v>18</v>
      </c>
      <c r="D24" s="40">
        <v>1</v>
      </c>
      <c r="E24" s="162"/>
    </row>
    <row r="25" spans="1:6">
      <c r="B25" s="1" t="s">
        <v>872</v>
      </c>
      <c r="C25" s="2" t="s">
        <v>18</v>
      </c>
      <c r="D25" s="40">
        <v>9</v>
      </c>
      <c r="E25" s="162"/>
    </row>
    <row r="26" spans="1:6">
      <c r="B26" s="1" t="s">
        <v>885</v>
      </c>
      <c r="C26" s="2" t="s">
        <v>18</v>
      </c>
      <c r="D26" s="40">
        <v>1</v>
      </c>
      <c r="E26" s="162"/>
    </row>
    <row r="27" spans="1:6">
      <c r="B27" s="1" t="s">
        <v>886</v>
      </c>
      <c r="C27" s="2" t="s">
        <v>18</v>
      </c>
      <c r="D27" s="40">
        <v>1</v>
      </c>
      <c r="E27" s="162"/>
    </row>
    <row r="28" spans="1:6">
      <c r="B28" s="25"/>
      <c r="E28" s="162"/>
    </row>
    <row r="29" spans="1:6" ht="45">
      <c r="A29" s="23">
        <f>COUNT($A$5:A23)+1</f>
        <v>2</v>
      </c>
      <c r="B29" s="25" t="s">
        <v>876</v>
      </c>
      <c r="E29" s="162"/>
    </row>
    <row r="30" spans="1:6" ht="120">
      <c r="B30" s="32" t="s">
        <v>873</v>
      </c>
      <c r="E30" s="162"/>
    </row>
    <row r="31" spans="1:6" ht="45">
      <c r="B31" s="32" t="s">
        <v>877</v>
      </c>
      <c r="E31" s="162"/>
    </row>
    <row r="32" spans="1:6">
      <c r="B32" s="32" t="s">
        <v>874</v>
      </c>
      <c r="E32" s="162"/>
    </row>
    <row r="33" spans="1:5">
      <c r="B33" s="1" t="s">
        <v>878</v>
      </c>
      <c r="C33" s="2" t="s">
        <v>18</v>
      </c>
      <c r="D33" s="40">
        <v>1</v>
      </c>
      <c r="E33" s="162"/>
    </row>
    <row r="34" spans="1:5">
      <c r="B34" s="1" t="s">
        <v>879</v>
      </c>
      <c r="C34" s="2" t="s">
        <v>18</v>
      </c>
      <c r="D34" s="40">
        <v>1</v>
      </c>
      <c r="E34" s="162"/>
    </row>
    <row r="35" spans="1:5">
      <c r="B35" s="1" t="s">
        <v>880</v>
      </c>
      <c r="C35" s="2" t="s">
        <v>18</v>
      </c>
      <c r="D35" s="40">
        <v>1</v>
      </c>
      <c r="E35" s="162"/>
    </row>
    <row r="36" spans="1:5">
      <c r="B36" s="1" t="s">
        <v>881</v>
      </c>
      <c r="C36" s="2" t="s">
        <v>18</v>
      </c>
      <c r="D36" s="40">
        <v>12</v>
      </c>
      <c r="E36" s="162"/>
    </row>
    <row r="37" spans="1:5">
      <c r="B37" s="1" t="s">
        <v>882</v>
      </c>
      <c r="C37" s="2" t="s">
        <v>18</v>
      </c>
      <c r="D37" s="40">
        <v>1</v>
      </c>
      <c r="E37" s="162"/>
    </row>
    <row r="38" spans="1:5">
      <c r="B38" s="1" t="s">
        <v>883</v>
      </c>
      <c r="C38" s="2" t="s">
        <v>18</v>
      </c>
      <c r="D38" s="40">
        <v>2</v>
      </c>
      <c r="E38" s="162"/>
    </row>
    <row r="39" spans="1:5">
      <c r="B39" s="1" t="s">
        <v>884</v>
      </c>
      <c r="C39" s="2" t="s">
        <v>18</v>
      </c>
      <c r="D39" s="40">
        <v>3</v>
      </c>
      <c r="E39" s="162"/>
    </row>
    <row r="40" spans="1:5">
      <c r="B40" s="1" t="s">
        <v>887</v>
      </c>
      <c r="C40" s="2" t="s">
        <v>18</v>
      </c>
      <c r="D40" s="40">
        <v>1</v>
      </c>
      <c r="E40" s="162"/>
    </row>
    <row r="41" spans="1:5">
      <c r="B41" s="1" t="s">
        <v>889</v>
      </c>
      <c r="C41" s="2" t="s">
        <v>18</v>
      </c>
      <c r="D41" s="40">
        <v>3</v>
      </c>
      <c r="E41" s="162"/>
    </row>
    <row r="42" spans="1:5">
      <c r="B42" s="1" t="s">
        <v>888</v>
      </c>
      <c r="C42" s="2" t="s">
        <v>18</v>
      </c>
      <c r="D42" s="40">
        <v>1</v>
      </c>
      <c r="E42" s="162"/>
    </row>
    <row r="43" spans="1:5">
      <c r="E43" s="162"/>
    </row>
    <row r="44" spans="1:5">
      <c r="E44" s="162"/>
    </row>
    <row r="45" spans="1:5">
      <c r="A45" s="23">
        <f>COUNT($A$5:A44)+1</f>
        <v>3</v>
      </c>
      <c r="B45" s="25" t="s">
        <v>890</v>
      </c>
      <c r="E45" s="162"/>
    </row>
    <row r="46" spans="1:5" ht="75">
      <c r="B46" s="32" t="s">
        <v>893</v>
      </c>
      <c r="E46" s="162"/>
    </row>
    <row r="47" spans="1:5">
      <c r="B47" s="1" t="s">
        <v>140</v>
      </c>
      <c r="C47" s="2" t="s">
        <v>11</v>
      </c>
      <c r="D47" s="40">
        <v>142</v>
      </c>
      <c r="E47" s="162"/>
    </row>
    <row r="48" spans="1:5">
      <c r="B48" s="32"/>
      <c r="E48" s="162"/>
    </row>
    <row r="49" spans="1:5" ht="30">
      <c r="A49" s="23">
        <f>COUNT($A$5:A48)+1</f>
        <v>4</v>
      </c>
      <c r="B49" s="25" t="s">
        <v>891</v>
      </c>
      <c r="E49" s="162"/>
    </row>
    <row r="50" spans="1:5" ht="75">
      <c r="B50" s="32" t="s">
        <v>894</v>
      </c>
      <c r="E50" s="162"/>
    </row>
    <row r="51" spans="1:5">
      <c r="B51" s="1" t="s">
        <v>295</v>
      </c>
      <c r="C51" s="2" t="s">
        <v>18</v>
      </c>
      <c r="D51" s="40">
        <v>1</v>
      </c>
      <c r="E51" s="162"/>
    </row>
    <row r="52" spans="1:5">
      <c r="B52" s="32"/>
      <c r="E52" s="162"/>
    </row>
    <row r="53" spans="1:5" ht="30">
      <c r="A53" s="23">
        <f>COUNT($A$5:A52)+1</f>
        <v>5</v>
      </c>
      <c r="B53" s="25" t="s">
        <v>892</v>
      </c>
      <c r="E53" s="162"/>
    </row>
    <row r="54" spans="1:5" ht="45">
      <c r="B54" s="32" t="s">
        <v>895</v>
      </c>
      <c r="E54" s="162"/>
    </row>
    <row r="55" spans="1:5">
      <c r="B55" s="1" t="s">
        <v>225</v>
      </c>
      <c r="C55" s="2" t="s">
        <v>130</v>
      </c>
      <c r="D55" s="40">
        <v>5</v>
      </c>
      <c r="E55" s="162"/>
    </row>
    <row r="56" spans="1:5">
      <c r="E56" s="162"/>
    </row>
    <row r="57" spans="1:5">
      <c r="B57" s="32"/>
      <c r="E57" s="162"/>
    </row>
    <row r="58" spans="1:5">
      <c r="A58" s="23">
        <f>COUNT($A$5:A57)+1</f>
        <v>6</v>
      </c>
      <c r="B58" s="25" t="s">
        <v>896</v>
      </c>
      <c r="E58" s="162"/>
    </row>
    <row r="59" spans="1:5" ht="75">
      <c r="B59" s="32" t="s">
        <v>897</v>
      </c>
      <c r="E59" s="162"/>
    </row>
    <row r="60" spans="1:5" ht="30">
      <c r="B60" s="32" t="s">
        <v>898</v>
      </c>
      <c r="E60" s="162"/>
    </row>
    <row r="61" spans="1:5">
      <c r="B61" s="1" t="s">
        <v>295</v>
      </c>
    </row>
    <row r="62" spans="1:5">
      <c r="B62" s="32" t="s">
        <v>900</v>
      </c>
      <c r="C62" s="2" t="s">
        <v>18</v>
      </c>
      <c r="D62" s="40">
        <v>23</v>
      </c>
      <c r="E62" s="162"/>
    </row>
    <row r="63" spans="1:5">
      <c r="B63" s="32" t="s">
        <v>901</v>
      </c>
      <c r="C63" s="2" t="s">
        <v>18</v>
      </c>
      <c r="D63" s="40">
        <v>5</v>
      </c>
      <c r="E63" s="162"/>
    </row>
    <row r="64" spans="1:5">
      <c r="B64" s="32" t="s">
        <v>902</v>
      </c>
      <c r="C64" s="2" t="s">
        <v>18</v>
      </c>
      <c r="D64" s="40">
        <v>2</v>
      </c>
      <c r="E64" s="162"/>
    </row>
    <row r="65" spans="1:5">
      <c r="B65" s="36"/>
      <c r="E65" s="162"/>
    </row>
    <row r="66" spans="1:5">
      <c r="A66" s="23">
        <f>COUNT($A$5:A61)+1</f>
        <v>7</v>
      </c>
      <c r="B66" s="25" t="s">
        <v>906</v>
      </c>
      <c r="E66" s="162"/>
    </row>
    <row r="67" spans="1:5" ht="90">
      <c r="B67" s="32" t="s">
        <v>907</v>
      </c>
      <c r="E67" s="162"/>
    </row>
    <row r="68" spans="1:5" ht="30">
      <c r="B68" s="32" t="s">
        <v>898</v>
      </c>
      <c r="E68" s="162"/>
    </row>
    <row r="69" spans="1:5">
      <c r="B69" s="1" t="s">
        <v>295</v>
      </c>
    </row>
    <row r="70" spans="1:5">
      <c r="B70" s="32" t="s">
        <v>899</v>
      </c>
      <c r="C70" s="2" t="s">
        <v>18</v>
      </c>
      <c r="D70" s="40">
        <v>4</v>
      </c>
      <c r="E70" s="162"/>
    </row>
    <row r="71" spans="1:5">
      <c r="B71" s="32" t="s">
        <v>903</v>
      </c>
      <c r="C71" s="2" t="s">
        <v>18</v>
      </c>
      <c r="D71" s="40">
        <v>2</v>
      </c>
      <c r="E71" s="162"/>
    </row>
    <row r="72" spans="1:5">
      <c r="B72" s="32" t="s">
        <v>904</v>
      </c>
      <c r="C72" s="2" t="s">
        <v>18</v>
      </c>
      <c r="D72" s="40">
        <v>2</v>
      </c>
      <c r="E72" s="162"/>
    </row>
    <row r="73" spans="1:5">
      <c r="B73" s="32" t="s">
        <v>905</v>
      </c>
      <c r="C73" s="2" t="s">
        <v>18</v>
      </c>
      <c r="D73" s="40">
        <v>1</v>
      </c>
      <c r="E73" s="162"/>
    </row>
    <row r="74" spans="1:5">
      <c r="B74" s="36"/>
      <c r="E74" s="162"/>
    </row>
    <row r="76" spans="1:5">
      <c r="A76" s="23">
        <f>COUNT($A$5:A75)+1</f>
        <v>8</v>
      </c>
      <c r="B76" s="25" t="s">
        <v>910</v>
      </c>
      <c r="E76" s="162"/>
    </row>
    <row r="77" spans="1:5" ht="60">
      <c r="B77" s="32" t="s">
        <v>909</v>
      </c>
      <c r="E77" s="162"/>
    </row>
    <row r="78" spans="1:5" ht="30">
      <c r="B78" s="32" t="s">
        <v>908</v>
      </c>
      <c r="E78" s="162"/>
    </row>
    <row r="79" spans="1:5">
      <c r="B79" s="1" t="s">
        <v>365</v>
      </c>
      <c r="C79" s="2" t="s">
        <v>11</v>
      </c>
      <c r="D79" s="40">
        <f>SUM((5.87+5.92)*45.79+7.13*18.98+7.25*9.9+(7.74*11.12)*3+4.1*46.08+4.69*49.75)*1.05</f>
        <v>1498.7998200000002</v>
      </c>
      <c r="E79" s="162"/>
    </row>
    <row r="81" spans="1:5">
      <c r="A81" s="23">
        <f>COUNT($A$5:A80)+1</f>
        <v>9</v>
      </c>
      <c r="B81" s="25" t="s">
        <v>911</v>
      </c>
      <c r="E81" s="162"/>
    </row>
    <row r="82" spans="1:5" ht="60">
      <c r="B82" s="32" t="s">
        <v>912</v>
      </c>
      <c r="E82" s="162"/>
    </row>
    <row r="83" spans="1:5">
      <c r="B83" s="1" t="s">
        <v>913</v>
      </c>
      <c r="E83" s="162"/>
    </row>
    <row r="84" spans="1:5">
      <c r="B84" s="1" t="s">
        <v>914</v>
      </c>
      <c r="C84" s="2" t="s">
        <v>11</v>
      </c>
      <c r="D84" s="40">
        <f>SUM((2.39*6.13)+(1.13*14.31+1.13*10.58*2))*1.05</f>
        <v>57.468389999999992</v>
      </c>
      <c r="E84" s="162"/>
    </row>
    <row r="85" spans="1:5">
      <c r="B85" s="1" t="s">
        <v>915</v>
      </c>
      <c r="C85" s="2" t="s">
        <v>11</v>
      </c>
      <c r="D85" s="40">
        <f>SUM((2.39*6.13)+(1.13*14.31+1.13*10.58*2))*1.05</f>
        <v>57.468389999999992</v>
      </c>
      <c r="E85" s="162"/>
    </row>
    <row r="86" spans="1:5">
      <c r="E86" s="162"/>
    </row>
    <row r="87" spans="1:5">
      <c r="A87" s="23">
        <f>COUNT($A$5:A86)+1</f>
        <v>10</v>
      </c>
      <c r="B87" s="25" t="s">
        <v>358</v>
      </c>
      <c r="E87" s="162"/>
    </row>
    <row r="88" spans="1:5" ht="105">
      <c r="B88" s="32" t="s">
        <v>916</v>
      </c>
      <c r="E88" s="162"/>
    </row>
    <row r="89" spans="1:5">
      <c r="B89" s="1" t="s">
        <v>225</v>
      </c>
      <c r="E89" s="162"/>
    </row>
    <row r="90" spans="1:5">
      <c r="B90" s="1" t="s">
        <v>359</v>
      </c>
      <c r="C90" s="2" t="s">
        <v>130</v>
      </c>
      <c r="D90" s="40">
        <f>(12*4+6.4*2+5.85)*1.2</f>
        <v>79.97999999999999</v>
      </c>
      <c r="E90" s="162"/>
    </row>
    <row r="91" spans="1:5">
      <c r="B91" s="1" t="s">
        <v>360</v>
      </c>
      <c r="C91" s="2" t="s">
        <v>130</v>
      </c>
      <c r="D91" s="40">
        <f>(43.94+34.3+2.95+6.13+50.54+11.86*2+11.3*3)*1.1</f>
        <v>215.02800000000002</v>
      </c>
      <c r="E91" s="162"/>
    </row>
    <row r="92" spans="1:5">
      <c r="B92" s="1" t="s">
        <v>917</v>
      </c>
      <c r="C92" s="2" t="s">
        <v>130</v>
      </c>
      <c r="D92" s="40">
        <v>10</v>
      </c>
      <c r="E92" s="162"/>
    </row>
    <row r="93" spans="1:5">
      <c r="B93" s="1" t="s">
        <v>918</v>
      </c>
      <c r="C93" s="2" t="s">
        <v>130</v>
      </c>
      <c r="D93" s="40">
        <v>250</v>
      </c>
      <c r="E93" s="162"/>
    </row>
    <row r="94" spans="1:5">
      <c r="B94" s="1" t="s">
        <v>919</v>
      </c>
      <c r="C94" s="2" t="s">
        <v>130</v>
      </c>
      <c r="D94" s="40">
        <v>250</v>
      </c>
      <c r="E94" s="162"/>
    </row>
    <row r="95" spans="1:5">
      <c r="E95" s="162"/>
    </row>
    <row r="96" spans="1:5">
      <c r="A96" s="23">
        <f>COUNT($A$5:A95)+1</f>
        <v>11</v>
      </c>
      <c r="B96" s="25" t="s">
        <v>921</v>
      </c>
      <c r="E96" s="162"/>
    </row>
    <row r="97" spans="1:6" ht="30">
      <c r="B97" s="32" t="s">
        <v>922</v>
      </c>
      <c r="E97" s="162"/>
    </row>
    <row r="98" spans="1:6" ht="30">
      <c r="B98" s="1" t="s">
        <v>923</v>
      </c>
      <c r="C98" s="2" t="s">
        <v>11</v>
      </c>
      <c r="D98" s="40">
        <v>1600</v>
      </c>
      <c r="E98" s="162"/>
    </row>
    <row r="100" spans="1:6">
      <c r="A100" s="23">
        <f>COUNT($A$5:A99)+1</f>
        <v>12</v>
      </c>
      <c r="B100" s="25" t="s">
        <v>364</v>
      </c>
      <c r="E100" s="162"/>
    </row>
    <row r="101" spans="1:6" ht="75">
      <c r="B101" s="32" t="s">
        <v>920</v>
      </c>
      <c r="E101" s="162"/>
    </row>
    <row r="102" spans="1:6">
      <c r="B102" s="1" t="s">
        <v>365</v>
      </c>
      <c r="C102" s="2" t="s">
        <v>11</v>
      </c>
      <c r="D102" s="40">
        <f>D79</f>
        <v>1498.7998200000002</v>
      </c>
      <c r="E102" s="162"/>
    </row>
    <row r="103" spans="1:6">
      <c r="E103" s="162"/>
    </row>
    <row r="104" spans="1:6">
      <c r="A104" s="23">
        <f>COUNT($A$5:A103)+1</f>
        <v>13</v>
      </c>
      <c r="B104" s="25" t="s">
        <v>924</v>
      </c>
      <c r="E104" s="162"/>
    </row>
    <row r="105" spans="1:6" ht="90">
      <c r="B105" s="32" t="s">
        <v>925</v>
      </c>
      <c r="E105" s="162"/>
    </row>
    <row r="106" spans="1:6" ht="30">
      <c r="B106" s="1" t="s">
        <v>926</v>
      </c>
      <c r="C106" s="2" t="s">
        <v>11</v>
      </c>
      <c r="D106" s="40">
        <v>1290</v>
      </c>
      <c r="E106" s="162"/>
    </row>
    <row r="108" spans="1:6">
      <c r="A108" s="23">
        <f>COUNT($A$5:A107)+1</f>
        <v>14</v>
      </c>
      <c r="B108" s="25" t="s">
        <v>927</v>
      </c>
      <c r="E108" s="162"/>
    </row>
    <row r="109" spans="1:6" ht="75">
      <c r="B109" s="1" t="s">
        <v>928</v>
      </c>
      <c r="E109" s="162"/>
    </row>
    <row r="110" spans="1:6" ht="30">
      <c r="B110" s="1" t="s">
        <v>929</v>
      </c>
      <c r="D110" s="2"/>
      <c r="E110" s="2"/>
      <c r="F110" s="2"/>
    </row>
    <row r="111" spans="1:6">
      <c r="B111" s="1" t="s">
        <v>930</v>
      </c>
      <c r="C111" s="2" t="s">
        <v>11</v>
      </c>
      <c r="D111" s="40">
        <v>70</v>
      </c>
      <c r="E111" s="162"/>
    </row>
    <row r="112" spans="1:6">
      <c r="B112" s="1" t="s">
        <v>931</v>
      </c>
      <c r="C112" s="2" t="s">
        <v>11</v>
      </c>
      <c r="D112" s="40">
        <v>18</v>
      </c>
      <c r="E112" s="162"/>
    </row>
    <row r="113" spans="1:5">
      <c r="E113" s="162"/>
    </row>
    <row r="114" spans="1:5">
      <c r="A114" s="23">
        <f>COUNT($A$5:A113)+1</f>
        <v>15</v>
      </c>
      <c r="B114" s="25" t="s">
        <v>932</v>
      </c>
      <c r="E114" s="162"/>
    </row>
    <row r="115" spans="1:5" ht="180">
      <c r="B115" s="1" t="s">
        <v>1579</v>
      </c>
      <c r="E115" s="162"/>
    </row>
    <row r="116" spans="1:5" ht="105">
      <c r="B116" s="1" t="s">
        <v>934</v>
      </c>
      <c r="E116" s="162"/>
    </row>
    <row r="117" spans="1:5" ht="30">
      <c r="B117" s="1" t="s">
        <v>357</v>
      </c>
      <c r="C117" s="2" t="s">
        <v>11</v>
      </c>
      <c r="D117" s="40">
        <v>1100</v>
      </c>
      <c r="E117" s="162"/>
    </row>
    <row r="118" spans="1:5">
      <c r="E118" s="162"/>
    </row>
    <row r="119" spans="1:5">
      <c r="E119" s="162"/>
    </row>
    <row r="120" spans="1:5" ht="90">
      <c r="A120" s="23">
        <f>COUNT($A$5:A119)+1</f>
        <v>16</v>
      </c>
      <c r="B120" s="1" t="s">
        <v>933</v>
      </c>
      <c r="E120" s="162"/>
    </row>
    <row r="121" spans="1:5" ht="90">
      <c r="B121" s="1" t="s">
        <v>362</v>
      </c>
      <c r="E121" s="162"/>
    </row>
    <row r="122" spans="1:5">
      <c r="B122" s="1" t="s">
        <v>363</v>
      </c>
      <c r="C122" s="2" t="s">
        <v>9</v>
      </c>
      <c r="D122" s="40">
        <f>(1100)*0.25</f>
        <v>275</v>
      </c>
      <c r="E122" s="162"/>
    </row>
    <row r="123" spans="1:5">
      <c r="E123" s="162"/>
    </row>
    <row r="124" spans="1:5">
      <c r="A124" s="23">
        <f>COUNT($A$5:A123)+1</f>
        <v>17</v>
      </c>
      <c r="B124" s="1" t="s">
        <v>368</v>
      </c>
      <c r="E124" s="162"/>
    </row>
    <row r="125" spans="1:5" ht="45">
      <c r="B125" s="1" t="s">
        <v>935</v>
      </c>
      <c r="E125" s="162"/>
    </row>
    <row r="126" spans="1:5" ht="30">
      <c r="B126" s="1" t="s">
        <v>936</v>
      </c>
      <c r="C126" s="2" t="s">
        <v>11</v>
      </c>
      <c r="D126" s="40">
        <v>1100</v>
      </c>
      <c r="E126" s="162"/>
    </row>
    <row r="127" spans="1:5">
      <c r="E127" s="162"/>
    </row>
    <row r="128" spans="1:5" ht="30">
      <c r="A128" s="23">
        <f>COUNT($A$5:A127)+1</f>
        <v>18</v>
      </c>
      <c r="B128" s="1" t="s">
        <v>939</v>
      </c>
      <c r="E128" s="162"/>
    </row>
    <row r="129" spans="1:5" ht="90">
      <c r="B129" s="1" t="s">
        <v>943</v>
      </c>
      <c r="E129" s="162"/>
    </row>
    <row r="130" spans="1:5" ht="30">
      <c r="B130" s="1" t="s">
        <v>369</v>
      </c>
      <c r="E130" s="162"/>
    </row>
    <row r="131" spans="1:5">
      <c r="B131" s="1" t="s">
        <v>937</v>
      </c>
      <c r="C131" s="2" t="s">
        <v>9</v>
      </c>
      <c r="D131" s="40">
        <f>(1.5*2+1.67*3+1.5*2+1.5+3.1+1.8*2+1.5*2+2.41*2)*3.2*0.15*1.1</f>
        <v>14.271840000000003</v>
      </c>
      <c r="E131" s="162"/>
    </row>
    <row r="132" spans="1:5">
      <c r="B132" s="1" t="s">
        <v>938</v>
      </c>
      <c r="C132" s="2" t="s">
        <v>9</v>
      </c>
      <c r="D132" s="40">
        <f>(2.51+1.58+7*3.3+4*3+4.3+3.15+2.98)*3.2*0.22*1.1</f>
        <v>38.425727999999999</v>
      </c>
      <c r="E132" s="162"/>
    </row>
    <row r="133" spans="1:5">
      <c r="B133" s="1" t="s">
        <v>940</v>
      </c>
      <c r="C133" s="2" t="s">
        <v>9</v>
      </c>
      <c r="D133" s="40">
        <f>SUM((3.71+21.72)*0.5+(3.45+5.17+3.55)*0.7+(2+3.3*2+10.06*3+32.95+5.25+10.35+8.35*3+9.08+7.15)*0.4+(5.21*2.1+2.19*1.1*3+4.45*1.2*7+4.29*0.47+3.4*1.12+3.24*1.1*12+2.75*1.37+3.15*2.15+3.13*0.95*9+4.72*1.3*2+2.68*1.3*3+4.45*1.2*6)*0.3)</f>
        <v>131.53973999999999</v>
      </c>
      <c r="E133" s="162"/>
    </row>
    <row r="134" spans="1:5">
      <c r="E134" s="162"/>
    </row>
    <row r="135" spans="1:5">
      <c r="A135" s="23">
        <f>COUNT($A$5:A134)+1</f>
        <v>19</v>
      </c>
      <c r="B135" s="1" t="s">
        <v>944</v>
      </c>
      <c r="E135" s="162"/>
    </row>
    <row r="136" spans="1:5" ht="120">
      <c r="B136" s="1" t="s">
        <v>945</v>
      </c>
      <c r="E136" s="162"/>
    </row>
    <row r="137" spans="1:5" ht="30">
      <c r="B137" s="1" t="s">
        <v>369</v>
      </c>
      <c r="C137" s="2" t="s">
        <v>9</v>
      </c>
      <c r="D137" s="40">
        <f>(0.3*0.9*17*3.4+1.35*0.3*4*6+0.3*0.4*3.4*11)+(0.3*0.5*(7*6+4.05*15+6.8*3+9.95+11.15*8+4.45))</f>
        <v>63.826499999999996</v>
      </c>
      <c r="E137" s="162"/>
    </row>
    <row r="138" spans="1:5">
      <c r="E138" s="162"/>
    </row>
    <row r="139" spans="1:5" ht="30">
      <c r="A139" s="23">
        <f>COUNT($A$5:A138)+1</f>
        <v>20</v>
      </c>
      <c r="B139" s="1" t="s">
        <v>946</v>
      </c>
      <c r="E139" s="162"/>
    </row>
    <row r="140" spans="1:5" ht="120">
      <c r="B140" s="1" t="s">
        <v>947</v>
      </c>
      <c r="E140" s="162"/>
    </row>
    <row r="141" spans="1:5" ht="30">
      <c r="B141" s="1" t="s">
        <v>369</v>
      </c>
      <c r="C141" s="2" t="s">
        <v>9</v>
      </c>
      <c r="D141" s="40">
        <v>30</v>
      </c>
      <c r="E141" s="162"/>
    </row>
    <row r="142" spans="1:5">
      <c r="E142" s="162"/>
    </row>
    <row r="143" spans="1:5" ht="30">
      <c r="A143" s="23">
        <f>COUNT($A$5:A142)+1</f>
        <v>21</v>
      </c>
      <c r="B143" s="1" t="s">
        <v>941</v>
      </c>
      <c r="E143" s="162"/>
    </row>
    <row r="144" spans="1:5" ht="90">
      <c r="B144" s="1" t="s">
        <v>942</v>
      </c>
      <c r="E144" s="162"/>
    </row>
    <row r="145" spans="1:5" ht="30">
      <c r="B145" s="1" t="s">
        <v>369</v>
      </c>
      <c r="C145" s="2" t="s">
        <v>9</v>
      </c>
      <c r="D145" s="40">
        <v>60</v>
      </c>
      <c r="E145" s="162"/>
    </row>
    <row r="146" spans="1:5">
      <c r="E146" s="162"/>
    </row>
    <row r="147" spans="1:5" ht="30">
      <c r="A147" s="23">
        <f>COUNT($A$5:A146)+1</f>
        <v>22</v>
      </c>
      <c r="B147" s="1" t="s">
        <v>948</v>
      </c>
      <c r="E147" s="162"/>
    </row>
    <row r="148" spans="1:5" ht="240">
      <c r="B148" s="1" t="s">
        <v>949</v>
      </c>
      <c r="E148" s="162"/>
    </row>
    <row r="149" spans="1:5" ht="30">
      <c r="B149" s="1" t="s">
        <v>369</v>
      </c>
      <c r="E149" s="162"/>
    </row>
    <row r="150" spans="1:5">
      <c r="B150" s="1" t="s">
        <v>974</v>
      </c>
      <c r="C150" s="2" t="s">
        <v>9</v>
      </c>
      <c r="D150" s="40">
        <f>(8.81*5*0.55+22*0.55+6.5*2*0.7)</f>
        <v>45.427500000000002</v>
      </c>
      <c r="E150" s="162"/>
    </row>
    <row r="151" spans="1:5">
      <c r="B151" s="1" t="s">
        <v>975</v>
      </c>
      <c r="C151" s="2" t="s">
        <v>9</v>
      </c>
      <c r="D151" s="40">
        <f>(1.8*10*3+1.26*10*3)*0.7</f>
        <v>64.259999999999991</v>
      </c>
      <c r="E151" s="162"/>
    </row>
    <row r="152" spans="1:5" ht="30">
      <c r="B152" s="1" t="s">
        <v>976</v>
      </c>
      <c r="C152" s="2" t="s">
        <v>9</v>
      </c>
      <c r="D152" s="40">
        <v>10</v>
      </c>
      <c r="E152" s="162"/>
    </row>
    <row r="153" spans="1:5">
      <c r="E153" s="162"/>
    </row>
    <row r="154" spans="1:5">
      <c r="A154" s="23">
        <f>COUNT($A$5:A153)+1</f>
        <v>23</v>
      </c>
      <c r="B154" s="1" t="s">
        <v>950</v>
      </c>
      <c r="E154" s="162"/>
    </row>
    <row r="155" spans="1:5" ht="105">
      <c r="B155" s="1" t="s">
        <v>956</v>
      </c>
      <c r="E155" s="162"/>
    </row>
    <row r="156" spans="1:5" ht="30">
      <c r="B156" s="1" t="s">
        <v>369</v>
      </c>
      <c r="C156" s="2" t="s">
        <v>9</v>
      </c>
      <c r="D156" s="40">
        <f>((44*3+11.82*10+9.46+7.56*2+9.24+3.29+19.5+2.6*2+6.13+42.53*3+3.33*12+3.68*9)*1.2*0.4)</f>
        <v>249.02879999999996</v>
      </c>
      <c r="E156" s="162"/>
    </row>
    <row r="157" spans="1:5">
      <c r="E157" s="162"/>
    </row>
    <row r="158" spans="1:5">
      <c r="A158" s="23">
        <f>COUNT($A$5:A157)+1</f>
        <v>24</v>
      </c>
      <c r="B158" s="1" t="s">
        <v>951</v>
      </c>
      <c r="E158" s="162"/>
    </row>
    <row r="159" spans="1:5" ht="60">
      <c r="B159" s="1" t="s">
        <v>952</v>
      </c>
      <c r="E159" s="162"/>
    </row>
    <row r="160" spans="1:5" ht="30">
      <c r="B160" s="1" t="s">
        <v>369</v>
      </c>
      <c r="C160" s="2" t="s">
        <v>9</v>
      </c>
      <c r="D160" s="40">
        <v>600</v>
      </c>
      <c r="E160" s="162"/>
    </row>
    <row r="161" spans="1:6">
      <c r="E161" s="162"/>
    </row>
    <row r="162" spans="1:6" ht="30">
      <c r="A162" s="23">
        <f>COUNT($A$5:A161)+1</f>
        <v>25</v>
      </c>
      <c r="B162" s="1" t="s">
        <v>957</v>
      </c>
      <c r="E162" s="162"/>
    </row>
    <row r="163" spans="1:6" ht="60">
      <c r="B163" s="1" t="s">
        <v>958</v>
      </c>
      <c r="E163" s="162"/>
    </row>
    <row r="164" spans="1:6" ht="30">
      <c r="B164" s="1" t="s">
        <v>369</v>
      </c>
      <c r="C164" s="2" t="s">
        <v>9</v>
      </c>
      <c r="D164" s="40">
        <f>(110+1.4*7.3)*0.22</f>
        <v>26.448399999999999</v>
      </c>
      <c r="E164" s="162"/>
    </row>
    <row r="165" spans="1:6">
      <c r="E165" s="162"/>
    </row>
    <row r="166" spans="1:6">
      <c r="E166" s="162"/>
    </row>
    <row r="167" spans="1:6">
      <c r="A167" s="23">
        <f>COUNT($A$5:A166)+1</f>
        <v>26</v>
      </c>
      <c r="B167" s="1" t="s">
        <v>370</v>
      </c>
      <c r="E167" s="162"/>
    </row>
    <row r="168" spans="1:6" ht="75">
      <c r="B168" s="1" t="s">
        <v>959</v>
      </c>
      <c r="E168" s="162"/>
    </row>
    <row r="169" spans="1:6" ht="30">
      <c r="B169" s="1" t="s">
        <v>960</v>
      </c>
      <c r="D169" s="2"/>
      <c r="E169" s="2"/>
      <c r="F169" s="2"/>
    </row>
    <row r="170" spans="1:6">
      <c r="B170" s="1" t="s">
        <v>962</v>
      </c>
      <c r="C170" s="2" t="s">
        <v>9</v>
      </c>
      <c r="D170" s="40">
        <f>(0.9*0.9*13)</f>
        <v>10.530000000000001</v>
      </c>
      <c r="E170" s="162"/>
    </row>
    <row r="171" spans="1:6">
      <c r="B171" s="1" t="s">
        <v>961</v>
      </c>
      <c r="C171" s="2" t="s">
        <v>130</v>
      </c>
      <c r="D171" s="40">
        <v>13</v>
      </c>
      <c r="E171" s="162"/>
    </row>
    <row r="172" spans="1:6">
      <c r="A172" s="132"/>
    </row>
    <row r="173" spans="1:6">
      <c r="A173" s="23">
        <f>COUNT($A$5:A172)+1</f>
        <v>27</v>
      </c>
      <c r="B173" s="1" t="s">
        <v>372</v>
      </c>
      <c r="E173" s="162"/>
    </row>
    <row r="174" spans="1:6" ht="75">
      <c r="B174" s="1" t="s">
        <v>963</v>
      </c>
      <c r="E174" s="162"/>
    </row>
    <row r="175" spans="1:6" ht="30">
      <c r="B175" s="1" t="s">
        <v>371</v>
      </c>
      <c r="C175" s="2" t="s">
        <v>9</v>
      </c>
      <c r="D175" s="40">
        <v>5</v>
      </c>
      <c r="E175" s="162"/>
    </row>
    <row r="176" spans="1:6">
      <c r="E176" s="162"/>
    </row>
    <row r="177" spans="1:5">
      <c r="A177" s="23">
        <f>COUNT($A$5:A176)+1</f>
        <v>28</v>
      </c>
      <c r="B177" s="1" t="s">
        <v>373</v>
      </c>
      <c r="E177" s="162"/>
    </row>
    <row r="178" spans="1:5" ht="60">
      <c r="B178" s="1" t="s">
        <v>1728</v>
      </c>
      <c r="E178" s="162"/>
    </row>
    <row r="179" spans="1:5" ht="45">
      <c r="B179" s="1" t="s">
        <v>809</v>
      </c>
      <c r="E179" s="162"/>
    </row>
    <row r="180" spans="1:5" ht="30">
      <c r="B180" s="1" t="s">
        <v>374</v>
      </c>
      <c r="E180" s="162"/>
    </row>
    <row r="181" spans="1:5" ht="30">
      <c r="B181" s="1" t="s">
        <v>375</v>
      </c>
      <c r="E181" s="162"/>
    </row>
    <row r="182" spans="1:5">
      <c r="B182" s="1" t="s">
        <v>376</v>
      </c>
      <c r="C182" s="26" t="s">
        <v>130</v>
      </c>
      <c r="D182" s="40">
        <v>250</v>
      </c>
      <c r="E182" s="162"/>
    </row>
    <row r="183" spans="1:5">
      <c r="B183" s="1" t="s">
        <v>377</v>
      </c>
      <c r="C183" s="26" t="s">
        <v>130</v>
      </c>
      <c r="D183" s="40">
        <v>250</v>
      </c>
      <c r="E183" s="162"/>
    </row>
    <row r="184" spans="1:5">
      <c r="B184" s="1" t="s">
        <v>378</v>
      </c>
      <c r="C184" s="26" t="s">
        <v>9</v>
      </c>
      <c r="D184" s="40">
        <f>(33.96*0.76*3+8.66*0.62+11.14*0.72*4+11.14*0.4*2+9.63*0.38+3.18*0.38+3.28*0.38*2+2.1*0.5*2)*0.4*1.1</f>
        <v>58.631672000000016</v>
      </c>
      <c r="E184" s="162"/>
    </row>
    <row r="185" spans="1:5">
      <c r="C185" s="26"/>
      <c r="E185" s="162"/>
    </row>
    <row r="186" spans="1:5">
      <c r="A186" s="23">
        <f>COUNT($A$5:A185)+1</f>
        <v>29</v>
      </c>
      <c r="B186" s="1" t="s">
        <v>964</v>
      </c>
      <c r="E186" s="162"/>
    </row>
    <row r="187" spans="1:5" ht="45">
      <c r="B187" s="1" t="s">
        <v>367</v>
      </c>
      <c r="E187" s="162"/>
    </row>
    <row r="188" spans="1:5" ht="30">
      <c r="B188" s="1" t="s">
        <v>810</v>
      </c>
      <c r="C188" s="2" t="s">
        <v>283</v>
      </c>
      <c r="D188" s="40">
        <v>1</v>
      </c>
      <c r="E188" s="162"/>
    </row>
    <row r="189" spans="1:5">
      <c r="E189" s="162"/>
    </row>
    <row r="190" spans="1:5">
      <c r="A190" s="23">
        <f>COUNT($A$5:A189)+1</f>
        <v>30</v>
      </c>
      <c r="B190" s="1" t="s">
        <v>965</v>
      </c>
      <c r="E190" s="162"/>
    </row>
    <row r="191" spans="1:5" ht="45">
      <c r="B191" s="1" t="s">
        <v>383</v>
      </c>
      <c r="C191" s="61"/>
      <c r="D191" s="67"/>
      <c r="E191" s="188"/>
    </row>
    <row r="192" spans="1:5" ht="30">
      <c r="B192" s="1" t="s">
        <v>811</v>
      </c>
      <c r="C192" s="61"/>
      <c r="D192" s="67"/>
      <c r="E192" s="188"/>
    </row>
    <row r="193" spans="1:5">
      <c r="B193" s="1" t="s">
        <v>384</v>
      </c>
      <c r="C193" s="66" t="s">
        <v>18</v>
      </c>
      <c r="D193" s="67">
        <v>11</v>
      </c>
      <c r="E193" s="188"/>
    </row>
    <row r="194" spans="1:5">
      <c r="B194" s="1" t="s">
        <v>385</v>
      </c>
      <c r="C194" s="66" t="s">
        <v>18</v>
      </c>
      <c r="D194" s="67">
        <v>4</v>
      </c>
      <c r="E194" s="188"/>
    </row>
    <row r="195" spans="1:5">
      <c r="B195" s="1" t="s">
        <v>386</v>
      </c>
      <c r="C195" s="66" t="s">
        <v>18</v>
      </c>
      <c r="D195" s="67">
        <v>9</v>
      </c>
      <c r="E195" s="188"/>
    </row>
    <row r="196" spans="1:5">
      <c r="B196" s="1" t="s">
        <v>387</v>
      </c>
      <c r="C196" s="66" t="s">
        <v>18</v>
      </c>
      <c r="D196" s="67">
        <v>2</v>
      </c>
      <c r="E196" s="188"/>
    </row>
    <row r="197" spans="1:5">
      <c r="E197" s="162"/>
    </row>
    <row r="198" spans="1:5" ht="30">
      <c r="A198" s="23">
        <f>COUNT($A$5:A197)+1</f>
        <v>31</v>
      </c>
      <c r="B198" s="1" t="s">
        <v>966</v>
      </c>
      <c r="E198" s="162"/>
    </row>
    <row r="199" spans="1:5">
      <c r="B199" s="1" t="s">
        <v>389</v>
      </c>
      <c r="E199" s="162"/>
    </row>
    <row r="200" spans="1:5">
      <c r="B200" s="1" t="s">
        <v>812</v>
      </c>
      <c r="E200" s="162"/>
    </row>
    <row r="201" spans="1:5" ht="45">
      <c r="B201" s="1" t="s">
        <v>967</v>
      </c>
      <c r="E201" s="162"/>
    </row>
    <row r="202" spans="1:5" ht="30">
      <c r="B202" s="1" t="s">
        <v>390</v>
      </c>
      <c r="E202" s="162"/>
    </row>
    <row r="203" spans="1:5">
      <c r="B203" s="1" t="s">
        <v>388</v>
      </c>
      <c r="C203" s="2" t="s">
        <v>283</v>
      </c>
      <c r="D203" s="40">
        <v>1</v>
      </c>
      <c r="E203" s="188"/>
    </row>
    <row r="204" spans="1:5">
      <c r="B204" s="36"/>
      <c r="E204" s="188"/>
    </row>
    <row r="205" spans="1:5" ht="30">
      <c r="A205" s="23">
        <f>COUNT($A$5:A204)+1</f>
        <v>32</v>
      </c>
      <c r="B205" s="1" t="s">
        <v>393</v>
      </c>
      <c r="E205" s="162"/>
    </row>
    <row r="206" spans="1:5">
      <c r="B206" s="1" t="s">
        <v>389</v>
      </c>
      <c r="E206" s="162"/>
    </row>
    <row r="207" spans="1:5">
      <c r="B207" s="1" t="s">
        <v>968</v>
      </c>
      <c r="E207" s="162"/>
    </row>
    <row r="208" spans="1:5" ht="30">
      <c r="B208" s="1" t="s">
        <v>969</v>
      </c>
      <c r="E208" s="162"/>
    </row>
    <row r="209" spans="1:5" ht="30">
      <c r="B209" s="1" t="s">
        <v>970</v>
      </c>
      <c r="E209" s="162"/>
    </row>
    <row r="210" spans="1:5">
      <c r="B210" s="1" t="s">
        <v>388</v>
      </c>
      <c r="C210" s="2" t="s">
        <v>283</v>
      </c>
      <c r="D210" s="40">
        <v>1</v>
      </c>
      <c r="E210" s="188"/>
    </row>
    <row r="211" spans="1:5">
      <c r="B211" s="36"/>
      <c r="E211" s="162"/>
    </row>
    <row r="212" spans="1:5">
      <c r="B212" s="36"/>
      <c r="E212" s="162"/>
    </row>
    <row r="213" spans="1:5">
      <c r="A213" s="23">
        <f>COUNT($A$5:A212)+1</f>
        <v>33</v>
      </c>
      <c r="B213" s="36" t="s">
        <v>971</v>
      </c>
      <c r="E213" s="162"/>
    </row>
    <row r="214" spans="1:5" ht="60">
      <c r="B214" s="32" t="s">
        <v>973</v>
      </c>
      <c r="E214" s="162"/>
    </row>
    <row r="215" spans="1:5">
      <c r="B215" s="36" t="s">
        <v>972</v>
      </c>
      <c r="C215" s="2" t="s">
        <v>9</v>
      </c>
      <c r="D215" s="40">
        <v>40</v>
      </c>
      <c r="E215" s="188"/>
    </row>
    <row r="216" spans="1:5">
      <c r="E216" s="162"/>
    </row>
    <row r="217" spans="1:5">
      <c r="B217" s="36"/>
      <c r="E217" s="162"/>
    </row>
    <row r="218" spans="1:5" ht="45">
      <c r="A218" s="23">
        <f>COUNT($A$5:A217)+1</f>
        <v>34</v>
      </c>
      <c r="B218" s="1" t="s">
        <v>379</v>
      </c>
      <c r="C218" s="30"/>
      <c r="D218" s="105"/>
      <c r="E218" s="165"/>
    </row>
    <row r="219" spans="1:5">
      <c r="B219" s="1" t="s">
        <v>380</v>
      </c>
      <c r="C219" s="30" t="s">
        <v>74</v>
      </c>
      <c r="D219" s="40">
        <v>120</v>
      </c>
      <c r="E219" s="188"/>
    </row>
    <row r="220" spans="1:5">
      <c r="B220" s="1" t="s">
        <v>381</v>
      </c>
      <c r="C220" s="30" t="s">
        <v>74</v>
      </c>
      <c r="D220" s="40">
        <v>60</v>
      </c>
      <c r="E220" s="188"/>
    </row>
    <row r="221" spans="1:5">
      <c r="B221" s="36"/>
      <c r="E221" s="162"/>
    </row>
    <row r="222" spans="1:5">
      <c r="B222" s="36"/>
      <c r="E222" s="162"/>
    </row>
    <row r="223" spans="1:5" ht="165">
      <c r="A223" s="23">
        <f>COUNT($A$5:A222)+1</f>
        <v>35</v>
      </c>
      <c r="B223" s="1" t="s">
        <v>813</v>
      </c>
      <c r="C223" s="2" t="s">
        <v>9</v>
      </c>
      <c r="D223" s="40">
        <v>20</v>
      </c>
      <c r="E223" s="188"/>
    </row>
    <row r="224" spans="1:5">
      <c r="B224" s="36"/>
      <c r="E224" s="162"/>
    </row>
    <row r="226" spans="1:6">
      <c r="A226" s="172" t="s">
        <v>138</v>
      </c>
      <c r="B226" s="173" t="s">
        <v>394</v>
      </c>
      <c r="C226" s="189"/>
      <c r="D226" s="175"/>
      <c r="E226" s="176"/>
      <c r="F226" s="177"/>
    </row>
    <row r="227" spans="1:6">
      <c r="E227" s="162"/>
      <c r="F227" s="162"/>
    </row>
    <row r="228" spans="1:6">
      <c r="E228" s="162"/>
      <c r="F228" s="162"/>
    </row>
    <row r="229" spans="1:6">
      <c r="E229" s="162"/>
      <c r="F229" s="162"/>
    </row>
    <row r="230" spans="1:6">
      <c r="E230" s="162"/>
      <c r="F230" s="162"/>
    </row>
    <row r="231" spans="1:6">
      <c r="E231" s="162"/>
      <c r="F231" s="162"/>
    </row>
    <row r="232" spans="1:6">
      <c r="E232" s="162"/>
      <c r="F232" s="162"/>
    </row>
    <row r="233" spans="1:6">
      <c r="E233" s="162"/>
      <c r="F233" s="162"/>
    </row>
    <row r="234" spans="1:6">
      <c r="E234" s="162"/>
      <c r="F234" s="162"/>
    </row>
    <row r="235" spans="1:6">
      <c r="E235" s="162"/>
      <c r="F235" s="162"/>
    </row>
    <row r="236" spans="1:6">
      <c r="E236" s="162"/>
      <c r="F236" s="162"/>
    </row>
    <row r="237" spans="1:6">
      <c r="E237" s="162"/>
      <c r="F237" s="162"/>
    </row>
    <row r="238" spans="1:6">
      <c r="E238" s="162"/>
      <c r="F238" s="162"/>
    </row>
    <row r="239" spans="1:6">
      <c r="E239" s="162"/>
      <c r="F239" s="162"/>
    </row>
    <row r="240" spans="1:6">
      <c r="E240" s="162"/>
      <c r="F240" s="162"/>
    </row>
    <row r="241" spans="2:6">
      <c r="B241" s="25"/>
      <c r="E241" s="162"/>
      <c r="F241" s="162"/>
    </row>
    <row r="242" spans="2:6">
      <c r="E242" s="162"/>
      <c r="F242" s="162"/>
    </row>
    <row r="243" spans="2:6">
      <c r="E243" s="162"/>
      <c r="F243" s="162"/>
    </row>
    <row r="244" spans="2:6">
      <c r="E244" s="162"/>
      <c r="F244" s="162"/>
    </row>
    <row r="245" spans="2:6">
      <c r="E245" s="162"/>
      <c r="F245" s="162"/>
    </row>
    <row r="246" spans="2:6">
      <c r="E246" s="162"/>
      <c r="F246" s="162"/>
    </row>
    <row r="247" spans="2:6">
      <c r="E247" s="162"/>
      <c r="F247" s="162"/>
    </row>
    <row r="248" spans="2:6">
      <c r="E248" s="162"/>
      <c r="F248" s="162"/>
    </row>
    <row r="249" spans="2:6">
      <c r="E249" s="162"/>
      <c r="F249" s="162"/>
    </row>
    <row r="250" spans="2:6">
      <c r="E250" s="162"/>
      <c r="F250" s="162"/>
    </row>
    <row r="251" spans="2:6">
      <c r="E251" s="162"/>
    </row>
    <row r="252" spans="2:6">
      <c r="E252" s="162"/>
    </row>
    <row r="253" spans="2:6">
      <c r="E253" s="162"/>
    </row>
    <row r="254" spans="2:6">
      <c r="E254" s="162"/>
    </row>
    <row r="255" spans="2:6">
      <c r="E255" s="162"/>
    </row>
    <row r="256" spans="2:6">
      <c r="E256" s="162"/>
    </row>
    <row r="257" spans="5:5">
      <c r="E257" s="162"/>
    </row>
    <row r="258" spans="5:5">
      <c r="E258" s="162"/>
    </row>
    <row r="259" spans="5:5">
      <c r="E259" s="162"/>
    </row>
    <row r="260" spans="5:5">
      <c r="E260" s="162"/>
    </row>
    <row r="261" spans="5:5">
      <c r="E261" s="162"/>
    </row>
    <row r="262" spans="5:5">
      <c r="E262" s="162"/>
    </row>
    <row r="263" spans="5:5">
      <c r="E263" s="162"/>
    </row>
    <row r="264" spans="5:5">
      <c r="E264" s="162"/>
    </row>
    <row r="265" spans="5:5">
      <c r="E265" s="162"/>
    </row>
    <row r="266" spans="5:5">
      <c r="E266" s="162"/>
    </row>
    <row r="267" spans="5:5">
      <c r="E267" s="162"/>
    </row>
    <row r="268" spans="5:5">
      <c r="E268" s="162"/>
    </row>
    <row r="269" spans="5:5">
      <c r="E269" s="162"/>
    </row>
    <row r="270" spans="5:5">
      <c r="E270" s="162"/>
    </row>
    <row r="271" spans="5:5">
      <c r="E271" s="162"/>
    </row>
    <row r="272" spans="5:5">
      <c r="E272" s="162"/>
    </row>
    <row r="273" spans="1:6">
      <c r="E273" s="162"/>
    </row>
    <row r="274" spans="1:6">
      <c r="E274" s="162"/>
    </row>
    <row r="275" spans="1:6">
      <c r="E275" s="162"/>
    </row>
    <row r="276" spans="1:6">
      <c r="E276" s="162"/>
    </row>
    <row r="277" spans="1:6">
      <c r="E277" s="162"/>
    </row>
    <row r="278" spans="1:6">
      <c r="E278" s="162"/>
    </row>
    <row r="279" spans="1:6">
      <c r="B279" s="25"/>
      <c r="E279" s="162"/>
    </row>
    <row r="280" spans="1:6">
      <c r="E280" s="162"/>
    </row>
    <row r="281" spans="1:6">
      <c r="E281" s="162"/>
    </row>
    <row r="282" spans="1:6">
      <c r="E282" s="162"/>
    </row>
    <row r="283" spans="1:6">
      <c r="E283" s="162"/>
    </row>
    <row r="284" spans="1:6">
      <c r="E284" s="162"/>
    </row>
    <row r="285" spans="1:6">
      <c r="E285" s="162"/>
    </row>
    <row r="286" spans="1:6" s="55" customFormat="1">
      <c r="A286" s="23"/>
      <c r="B286" s="1"/>
      <c r="C286" s="2"/>
      <c r="D286" s="40"/>
      <c r="E286" s="162"/>
      <c r="F286" s="163"/>
    </row>
    <row r="287" spans="1:6" s="55" customFormat="1">
      <c r="A287" s="23"/>
      <c r="B287" s="1"/>
      <c r="C287" s="2"/>
      <c r="D287" s="40"/>
      <c r="E287" s="162"/>
      <c r="F287" s="163"/>
    </row>
    <row r="288" spans="1:6" s="55" customFormat="1">
      <c r="A288" s="23"/>
      <c r="B288" s="1"/>
      <c r="C288" s="2"/>
      <c r="D288" s="40"/>
      <c r="E288" s="162"/>
      <c r="F288" s="163"/>
    </row>
    <row r="289" spans="1:6" s="55" customFormat="1">
      <c r="A289" s="23"/>
      <c r="B289" s="1"/>
      <c r="C289" s="2"/>
      <c r="D289" s="40"/>
      <c r="E289" s="162"/>
      <c r="F289" s="163"/>
    </row>
    <row r="290" spans="1:6" s="55" customFormat="1">
      <c r="A290" s="23"/>
      <c r="B290" s="1"/>
      <c r="C290" s="2"/>
      <c r="D290" s="40"/>
      <c r="E290" s="162"/>
      <c r="F290" s="163"/>
    </row>
    <row r="291" spans="1:6" s="55" customFormat="1">
      <c r="A291" s="23"/>
      <c r="B291" s="25"/>
      <c r="C291" s="2"/>
      <c r="D291" s="40"/>
      <c r="E291" s="162"/>
      <c r="F291" s="163"/>
    </row>
    <row r="292" spans="1:6" s="55" customFormat="1">
      <c r="A292" s="23"/>
      <c r="B292" s="1"/>
      <c r="C292" s="2"/>
      <c r="D292" s="40"/>
      <c r="E292" s="162"/>
      <c r="F292" s="163"/>
    </row>
    <row r="293" spans="1:6" s="55" customFormat="1">
      <c r="A293" s="23"/>
      <c r="B293" s="1"/>
      <c r="C293" s="2"/>
      <c r="D293" s="40"/>
      <c r="E293" s="162"/>
      <c r="F293" s="163"/>
    </row>
    <row r="294" spans="1:6" s="55" customFormat="1">
      <c r="A294" s="23"/>
      <c r="B294" s="1"/>
      <c r="C294" s="2"/>
      <c r="D294" s="40"/>
      <c r="E294" s="162"/>
      <c r="F294" s="163"/>
    </row>
    <row r="295" spans="1:6" s="55" customFormat="1">
      <c r="A295" s="23"/>
      <c r="B295" s="1"/>
      <c r="C295" s="2"/>
      <c r="D295" s="40"/>
      <c r="E295" s="162"/>
      <c r="F295" s="163"/>
    </row>
    <row r="296" spans="1:6" s="55" customFormat="1">
      <c r="A296" s="23"/>
      <c r="B296" s="1"/>
      <c r="C296" s="2"/>
      <c r="D296" s="40"/>
      <c r="E296" s="162"/>
      <c r="F296" s="163"/>
    </row>
    <row r="297" spans="1:6" s="55" customFormat="1">
      <c r="A297" s="23"/>
      <c r="B297" s="1"/>
      <c r="C297" s="2"/>
      <c r="D297" s="40"/>
      <c r="E297" s="162"/>
      <c r="F297" s="163"/>
    </row>
    <row r="298" spans="1:6" s="55" customFormat="1">
      <c r="A298" s="23"/>
      <c r="B298" s="1"/>
      <c r="C298" s="2"/>
      <c r="D298" s="40"/>
      <c r="E298" s="162"/>
      <c r="F298" s="163"/>
    </row>
    <row r="299" spans="1:6" s="55" customFormat="1">
      <c r="A299" s="23"/>
      <c r="B299" s="1"/>
      <c r="C299" s="2"/>
      <c r="D299" s="40"/>
      <c r="E299" s="162"/>
      <c r="F299" s="163"/>
    </row>
    <row r="300" spans="1:6" s="55" customFormat="1">
      <c r="A300" s="23"/>
      <c r="B300" s="1"/>
      <c r="C300" s="2"/>
      <c r="D300" s="40"/>
      <c r="E300" s="162"/>
      <c r="F300" s="163"/>
    </row>
    <row r="301" spans="1:6" s="55" customFormat="1">
      <c r="A301" s="23"/>
      <c r="B301" s="1"/>
      <c r="C301" s="2"/>
      <c r="D301" s="40"/>
      <c r="E301" s="162"/>
      <c r="F301" s="163"/>
    </row>
    <row r="302" spans="1:6" s="55" customFormat="1">
      <c r="A302" s="23"/>
      <c r="B302" s="1"/>
      <c r="C302" s="2"/>
      <c r="D302" s="40"/>
      <c r="E302" s="162"/>
      <c r="F302" s="163"/>
    </row>
    <row r="303" spans="1:6" s="55" customFormat="1">
      <c r="A303" s="23"/>
      <c r="B303" s="1"/>
      <c r="C303" s="2"/>
      <c r="D303" s="40"/>
      <c r="E303" s="162"/>
      <c r="F303" s="163"/>
    </row>
    <row r="304" spans="1:6" s="55" customFormat="1">
      <c r="A304" s="23"/>
      <c r="B304" s="1"/>
      <c r="C304" s="2"/>
      <c r="D304" s="40"/>
      <c r="E304" s="162"/>
      <c r="F304" s="163"/>
    </row>
    <row r="305" spans="1:6" s="55" customFormat="1">
      <c r="A305" s="23"/>
      <c r="B305" s="1"/>
      <c r="C305" s="2"/>
      <c r="D305" s="40"/>
      <c r="E305" s="162"/>
      <c r="F305" s="163"/>
    </row>
    <row r="306" spans="1:6" s="55" customFormat="1">
      <c r="A306" s="23"/>
      <c r="B306" s="1"/>
      <c r="C306" s="2"/>
      <c r="D306" s="40"/>
      <c r="E306" s="162"/>
      <c r="F306" s="163"/>
    </row>
    <row r="307" spans="1:6" s="55" customFormat="1">
      <c r="A307" s="23"/>
      <c r="B307" s="1"/>
      <c r="C307" s="2"/>
      <c r="D307" s="40"/>
      <c r="E307" s="162"/>
      <c r="F307" s="163"/>
    </row>
    <row r="308" spans="1:6" s="55" customFormat="1">
      <c r="A308" s="23"/>
      <c r="B308" s="1"/>
      <c r="C308" s="2"/>
      <c r="D308" s="40"/>
      <c r="E308" s="162"/>
      <c r="F308" s="163"/>
    </row>
    <row r="309" spans="1:6" s="55" customFormat="1">
      <c r="A309" s="23"/>
      <c r="B309" s="1"/>
      <c r="C309" s="2"/>
      <c r="D309" s="40"/>
      <c r="E309" s="162"/>
      <c r="F309" s="163"/>
    </row>
    <row r="310" spans="1:6" s="55" customFormat="1">
      <c r="A310" s="23"/>
      <c r="B310" s="1"/>
      <c r="C310" s="2"/>
      <c r="D310" s="40"/>
      <c r="E310" s="162"/>
      <c r="F310" s="163"/>
    </row>
    <row r="311" spans="1:6" s="55" customFormat="1">
      <c r="A311" s="23"/>
      <c r="B311" s="1"/>
      <c r="C311" s="2"/>
      <c r="D311" s="40"/>
      <c r="E311" s="162"/>
      <c r="F311" s="163"/>
    </row>
    <row r="312" spans="1:6" s="55" customFormat="1">
      <c r="A312" s="23"/>
      <c r="B312" s="25"/>
      <c r="C312" s="2"/>
      <c r="D312" s="40"/>
      <c r="E312" s="162"/>
      <c r="F312" s="163"/>
    </row>
    <row r="313" spans="1:6" s="55" customFormat="1">
      <c r="A313" s="23"/>
      <c r="B313" s="1"/>
      <c r="C313" s="2"/>
      <c r="D313" s="40"/>
      <c r="E313" s="162"/>
      <c r="F313" s="163"/>
    </row>
    <row r="314" spans="1:6" s="55" customFormat="1">
      <c r="A314" s="23"/>
      <c r="B314" s="1"/>
      <c r="C314" s="2"/>
      <c r="D314" s="40"/>
      <c r="E314" s="162"/>
      <c r="F314" s="163"/>
    </row>
    <row r="315" spans="1:6" s="55" customFormat="1">
      <c r="A315" s="23"/>
      <c r="B315" s="1"/>
      <c r="C315" s="2"/>
      <c r="D315" s="40"/>
      <c r="E315" s="162"/>
      <c r="F315" s="163"/>
    </row>
    <row r="316" spans="1:6" s="55" customFormat="1">
      <c r="A316" s="23"/>
      <c r="B316" s="1"/>
      <c r="C316" s="2"/>
      <c r="D316" s="40"/>
      <c r="E316" s="162"/>
      <c r="F316" s="163"/>
    </row>
    <row r="317" spans="1:6" s="55" customFormat="1">
      <c r="A317" s="23"/>
      <c r="B317" s="1"/>
      <c r="C317" s="2"/>
      <c r="D317" s="40"/>
      <c r="E317" s="162"/>
      <c r="F317" s="163"/>
    </row>
    <row r="318" spans="1:6" s="55" customFormat="1">
      <c r="A318" s="23"/>
      <c r="B318" s="1"/>
      <c r="C318" s="2"/>
      <c r="D318" s="40"/>
      <c r="E318" s="162"/>
      <c r="F318" s="163"/>
    </row>
    <row r="319" spans="1:6" s="55" customFormat="1">
      <c r="A319" s="23"/>
      <c r="B319" s="1"/>
      <c r="C319" s="2"/>
      <c r="D319" s="40"/>
      <c r="E319" s="162"/>
      <c r="F319" s="163"/>
    </row>
    <row r="320" spans="1:6" s="55" customFormat="1">
      <c r="A320" s="23"/>
      <c r="B320" s="1"/>
      <c r="C320" s="2"/>
      <c r="D320" s="40"/>
      <c r="E320" s="162"/>
      <c r="F320" s="163"/>
    </row>
    <row r="321" spans="1:6" s="55" customFormat="1">
      <c r="A321" s="23"/>
      <c r="B321" s="1"/>
      <c r="C321" s="2"/>
      <c r="D321" s="40"/>
      <c r="E321" s="162"/>
      <c r="F321" s="163"/>
    </row>
    <row r="322" spans="1:6" s="55" customFormat="1">
      <c r="A322" s="23"/>
      <c r="B322" s="1"/>
      <c r="C322" s="2"/>
      <c r="D322" s="40"/>
      <c r="E322" s="162"/>
      <c r="F322" s="163"/>
    </row>
    <row r="323" spans="1:6" s="55" customFormat="1">
      <c r="A323" s="23"/>
      <c r="B323" s="1"/>
      <c r="C323" s="2"/>
      <c r="D323" s="40"/>
      <c r="E323" s="162"/>
      <c r="F323" s="163"/>
    </row>
    <row r="324" spans="1:6" s="55" customFormat="1">
      <c r="A324" s="23"/>
      <c r="B324" s="1"/>
      <c r="C324" s="2"/>
      <c r="D324" s="40"/>
      <c r="E324" s="162"/>
      <c r="F324" s="163"/>
    </row>
    <row r="325" spans="1:6" s="55" customFormat="1">
      <c r="A325" s="23"/>
      <c r="B325" s="1"/>
      <c r="C325" s="2"/>
      <c r="D325" s="40"/>
      <c r="E325" s="162"/>
      <c r="F325" s="163"/>
    </row>
    <row r="326" spans="1:6" s="55" customFormat="1">
      <c r="A326" s="23"/>
      <c r="B326" s="1"/>
      <c r="C326" s="2"/>
      <c r="D326" s="40"/>
      <c r="E326" s="162"/>
      <c r="F326" s="163"/>
    </row>
    <row r="327" spans="1:6" s="55" customFormat="1">
      <c r="A327" s="23"/>
      <c r="B327" s="1"/>
      <c r="C327" s="2"/>
      <c r="D327" s="40"/>
      <c r="E327" s="162"/>
      <c r="F327" s="163"/>
    </row>
    <row r="328" spans="1:6" s="55" customFormat="1">
      <c r="A328" s="23"/>
      <c r="B328" s="1"/>
      <c r="C328" s="2"/>
      <c r="D328" s="40"/>
      <c r="E328" s="162"/>
      <c r="F328" s="163"/>
    </row>
    <row r="329" spans="1:6" s="55" customFormat="1">
      <c r="A329" s="23"/>
      <c r="B329" s="1"/>
      <c r="C329" s="2"/>
      <c r="D329" s="40"/>
      <c r="E329" s="162"/>
      <c r="F329" s="163"/>
    </row>
    <row r="330" spans="1:6" s="55" customFormat="1">
      <c r="A330" s="23"/>
      <c r="B330" s="1"/>
      <c r="C330" s="2"/>
      <c r="D330" s="40"/>
      <c r="E330" s="162"/>
      <c r="F330" s="163"/>
    </row>
    <row r="331" spans="1:6" s="55" customFormat="1">
      <c r="A331" s="23"/>
      <c r="B331" s="1"/>
      <c r="C331" s="2"/>
      <c r="D331" s="40"/>
      <c r="E331" s="162"/>
      <c r="F331" s="163"/>
    </row>
    <row r="332" spans="1:6" s="55" customFormat="1">
      <c r="A332" s="23"/>
      <c r="B332" s="1"/>
      <c r="C332" s="2"/>
      <c r="D332" s="40"/>
      <c r="E332" s="162"/>
      <c r="F332" s="163"/>
    </row>
    <row r="333" spans="1:6" s="55" customFormat="1">
      <c r="A333" s="23"/>
      <c r="B333" s="1"/>
      <c r="C333" s="2"/>
      <c r="D333" s="40"/>
      <c r="E333" s="162"/>
      <c r="F333" s="163"/>
    </row>
    <row r="334" spans="1:6" s="55" customFormat="1">
      <c r="A334" s="23"/>
      <c r="B334" s="36"/>
      <c r="C334" s="2"/>
      <c r="D334" s="40"/>
      <c r="E334" s="162"/>
      <c r="F334" s="163"/>
    </row>
  </sheetData>
  <pageMargins left="0.70866141732283472" right="0.70866141732283472" top="0.82250000000000001" bottom="0.74803149606299213" header="0.31496062992125984" footer="0.31496062992125984"/>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6.xml><?xml version="1.0" encoding="utf-8"?>
<worksheet xmlns="http://schemas.openxmlformats.org/spreadsheetml/2006/main" xmlns:r="http://schemas.openxmlformats.org/officeDocument/2006/relationships">
  <sheetPr>
    <tabColor rgb="FFFFC000"/>
  </sheetPr>
  <dimension ref="A1:F643"/>
  <sheetViews>
    <sheetView showZeros="0" view="pageBreakPreview" zoomScale="85" zoomScaleNormal="85" zoomScaleSheetLayoutView="85" zoomScalePageLayoutView="96" workbookViewId="0">
      <selection activeCell="E2" sqref="E2:F287"/>
    </sheetView>
  </sheetViews>
  <sheetFormatPr defaultColWidth="8.85546875" defaultRowHeight="15"/>
  <cols>
    <col min="1" max="1" width="8.7109375" style="17" customWidth="1"/>
    <col min="2" max="2" width="45" style="1" customWidth="1"/>
    <col min="3" max="3" width="8.5703125" style="29" customWidth="1"/>
    <col min="4" max="4" width="10.7109375" style="40" customWidth="1"/>
    <col min="5" max="5" width="13.7109375" style="163" customWidth="1"/>
    <col min="6" max="6" width="16.85546875" style="163" customWidth="1"/>
    <col min="7" max="16384" width="8.85546875" style="2"/>
  </cols>
  <sheetData>
    <row r="1" spans="1:6">
      <c r="A1" s="118" t="s">
        <v>260</v>
      </c>
      <c r="B1" s="107" t="s">
        <v>261</v>
      </c>
      <c r="C1" s="64" t="s">
        <v>262</v>
      </c>
      <c r="D1" s="114" t="s">
        <v>263</v>
      </c>
      <c r="E1" s="158" t="s">
        <v>264</v>
      </c>
      <c r="F1" s="159" t="s">
        <v>265</v>
      </c>
    </row>
    <row r="3" spans="1:6">
      <c r="A3" s="17" t="s">
        <v>77</v>
      </c>
      <c r="B3" s="25" t="s">
        <v>78</v>
      </c>
      <c r="E3" s="162"/>
    </row>
    <row r="4" spans="1:6">
      <c r="B4" s="24"/>
      <c r="E4" s="162"/>
    </row>
    <row r="5" spans="1:6">
      <c r="B5" s="25" t="s">
        <v>266</v>
      </c>
      <c r="E5" s="162"/>
    </row>
    <row r="6" spans="1:6">
      <c r="E6" s="162"/>
    </row>
    <row r="7" spans="1:6" ht="75">
      <c r="B7" s="1" t="s">
        <v>348</v>
      </c>
      <c r="E7" s="162"/>
    </row>
    <row r="8" spans="1:6" ht="214.5" customHeight="1">
      <c r="B8" s="1" t="s">
        <v>93</v>
      </c>
      <c r="E8" s="162"/>
    </row>
    <row r="9" spans="1:6" ht="45">
      <c r="B9" s="1" t="s">
        <v>82</v>
      </c>
      <c r="E9" s="162"/>
    </row>
    <row r="10" spans="1:6" ht="60">
      <c r="B10" s="1" t="s">
        <v>79</v>
      </c>
      <c r="E10" s="162"/>
    </row>
    <row r="11" spans="1:6" ht="60">
      <c r="B11" s="1" t="s">
        <v>80</v>
      </c>
      <c r="E11" s="162"/>
    </row>
    <row r="12" spans="1:6" ht="90">
      <c r="B12" s="1" t="s">
        <v>81</v>
      </c>
      <c r="E12" s="162"/>
    </row>
    <row r="13" spans="1:6">
      <c r="E13" s="162"/>
    </row>
    <row r="14" spans="1:6" ht="30">
      <c r="B14" s="25" t="s">
        <v>1518</v>
      </c>
      <c r="E14" s="162"/>
    </row>
    <row r="15" spans="1:6">
      <c r="E15" s="162"/>
    </row>
    <row r="16" spans="1:6">
      <c r="B16" s="25"/>
      <c r="E16" s="162"/>
    </row>
    <row r="17" spans="1:5">
      <c r="B17" s="25"/>
      <c r="E17" s="162"/>
    </row>
    <row r="18" spans="1:5">
      <c r="E18" s="162"/>
    </row>
    <row r="19" spans="1:5">
      <c r="E19" s="162"/>
    </row>
    <row r="20" spans="1:5">
      <c r="A20" s="17">
        <f>COUNT($A$5:A19)+1</f>
        <v>1</v>
      </c>
      <c r="B20" s="25" t="s">
        <v>89</v>
      </c>
      <c r="E20" s="162"/>
    </row>
    <row r="21" spans="1:5" ht="30">
      <c r="B21" s="1" t="s">
        <v>399</v>
      </c>
      <c r="E21" s="162"/>
    </row>
    <row r="22" spans="1:5" ht="45">
      <c r="B22" s="1" t="s">
        <v>1519</v>
      </c>
      <c r="E22" s="162"/>
    </row>
    <row r="23" spans="1:5" ht="45">
      <c r="B23" s="1" t="s">
        <v>1520</v>
      </c>
      <c r="E23" s="162"/>
    </row>
    <row r="24" spans="1:5" ht="30">
      <c r="B24" s="1" t="s">
        <v>90</v>
      </c>
      <c r="C24" s="29" t="s">
        <v>9</v>
      </c>
      <c r="D24" s="40">
        <f>700*0.2</f>
        <v>140</v>
      </c>
      <c r="E24" s="162"/>
    </row>
    <row r="26" spans="1:5" ht="30">
      <c r="A26" s="17">
        <f>COUNT($A$5:A25)+1</f>
        <v>2</v>
      </c>
      <c r="B26" s="25" t="s">
        <v>1525</v>
      </c>
      <c r="E26" s="162"/>
    </row>
    <row r="27" spans="1:5" ht="60">
      <c r="B27" s="1" t="s">
        <v>1521</v>
      </c>
      <c r="E27" s="162"/>
    </row>
    <row r="28" spans="1:5" ht="75">
      <c r="B28" s="1" t="s">
        <v>1522</v>
      </c>
      <c r="E28" s="162"/>
    </row>
    <row r="29" spans="1:5">
      <c r="B29" s="1" t="s">
        <v>241</v>
      </c>
      <c r="E29" s="162"/>
    </row>
    <row r="30" spans="1:5">
      <c r="B30" s="1" t="s">
        <v>440</v>
      </c>
      <c r="C30" s="29" t="s">
        <v>9</v>
      </c>
      <c r="D30" s="40">
        <f>(1.75*1.5)*342*0.9+1000</f>
        <v>1807.9749999999999</v>
      </c>
      <c r="E30" s="162"/>
    </row>
    <row r="31" spans="1:5">
      <c r="B31" s="1" t="s">
        <v>441</v>
      </c>
      <c r="C31" s="29" t="s">
        <v>9</v>
      </c>
      <c r="D31" s="40">
        <f>(1.75*1.5)*342*0.1</f>
        <v>89.775000000000006</v>
      </c>
      <c r="E31" s="162"/>
    </row>
    <row r="32" spans="1:5">
      <c r="E32" s="162"/>
    </row>
    <row r="33" spans="1:5" ht="30">
      <c r="A33" s="17">
        <f>COUNT($A$5:A32)+1</f>
        <v>3</v>
      </c>
      <c r="B33" s="25" t="s">
        <v>1524</v>
      </c>
      <c r="E33" s="162"/>
    </row>
    <row r="34" spans="1:5" ht="45">
      <c r="B34" s="1" t="s">
        <v>1523</v>
      </c>
      <c r="E34" s="162"/>
    </row>
    <row r="35" spans="1:5" ht="75">
      <c r="B35" s="1" t="s">
        <v>396</v>
      </c>
      <c r="E35" s="162"/>
    </row>
    <row r="36" spans="1:5">
      <c r="B36" s="1" t="s">
        <v>241</v>
      </c>
      <c r="E36" s="162"/>
    </row>
    <row r="37" spans="1:5">
      <c r="B37" s="1" t="s">
        <v>440</v>
      </c>
      <c r="C37" s="29" t="s">
        <v>9</v>
      </c>
      <c r="D37" s="40">
        <v>30</v>
      </c>
      <c r="E37" s="162"/>
    </row>
    <row r="38" spans="1:5">
      <c r="B38" s="1" t="s">
        <v>441</v>
      </c>
      <c r="C38" s="29" t="s">
        <v>9</v>
      </c>
      <c r="D38" s="40">
        <v>30</v>
      </c>
      <c r="E38" s="162"/>
    </row>
    <row r="39" spans="1:5">
      <c r="E39" s="162"/>
    </row>
    <row r="40" spans="1:5" ht="30">
      <c r="A40" s="17">
        <f>COUNT($A$5:A39)+1</f>
        <v>4</v>
      </c>
      <c r="B40" s="25" t="s">
        <v>442</v>
      </c>
      <c r="E40" s="162"/>
    </row>
    <row r="41" spans="1:5" ht="150">
      <c r="B41" s="1" t="s">
        <v>443</v>
      </c>
      <c r="E41" s="162"/>
    </row>
    <row r="42" spans="1:5" ht="45">
      <c r="B42" s="1" t="s">
        <v>395</v>
      </c>
      <c r="E42" s="162"/>
    </row>
    <row r="43" spans="1:5">
      <c r="B43" s="1" t="s">
        <v>241</v>
      </c>
      <c r="C43" s="29" t="s">
        <v>9</v>
      </c>
      <c r="D43" s="40">
        <v>15</v>
      </c>
      <c r="E43" s="162"/>
    </row>
    <row r="45" spans="1:5">
      <c r="E45" s="162"/>
    </row>
    <row r="46" spans="1:5">
      <c r="E46" s="162"/>
    </row>
    <row r="47" spans="1:5" ht="34.5" customHeight="1">
      <c r="A47" s="17">
        <f>COUNT($A$5:A46)+1</f>
        <v>5</v>
      </c>
      <c r="B47" s="25" t="s">
        <v>397</v>
      </c>
      <c r="E47" s="162"/>
    </row>
    <row r="48" spans="1:5" ht="92.25" customHeight="1">
      <c r="B48" s="1" t="s">
        <v>94</v>
      </c>
      <c r="E48" s="162"/>
    </row>
    <row r="49" spans="1:5" hidden="1">
      <c r="E49" s="162"/>
    </row>
    <row r="50" spans="1:5" ht="30">
      <c r="B50" s="1" t="s">
        <v>95</v>
      </c>
      <c r="C50" s="29" t="s">
        <v>9</v>
      </c>
      <c r="D50" s="40">
        <f>(1100*0.8)*1.1</f>
        <v>968.00000000000011</v>
      </c>
      <c r="E50" s="162"/>
    </row>
    <row r="52" spans="1:5" ht="30.75" customHeight="1">
      <c r="A52" s="17">
        <f>COUNT($A$5:A51)+1</f>
        <v>6</v>
      </c>
      <c r="B52" s="25" t="s">
        <v>398</v>
      </c>
      <c r="E52" s="162"/>
    </row>
    <row r="53" spans="1:5" ht="79.5" customHeight="1">
      <c r="B53" s="1" t="s">
        <v>96</v>
      </c>
      <c r="E53" s="162"/>
    </row>
    <row r="54" spans="1:5" hidden="1">
      <c r="E54" s="162"/>
    </row>
    <row r="55" spans="1:5" ht="30">
      <c r="B55" s="1" t="s">
        <v>95</v>
      </c>
      <c r="E55" s="162"/>
    </row>
    <row r="56" spans="1:5">
      <c r="A56" s="17" t="s">
        <v>16</v>
      </c>
      <c r="B56" s="1" t="s">
        <v>97</v>
      </c>
      <c r="C56" s="29" t="s">
        <v>9</v>
      </c>
      <c r="D56" s="40">
        <v>500</v>
      </c>
      <c r="E56" s="162"/>
    </row>
    <row r="57" spans="1:5">
      <c r="A57" s="17" t="s">
        <v>17</v>
      </c>
      <c r="B57" s="1" t="s">
        <v>98</v>
      </c>
      <c r="C57" s="29" t="s">
        <v>9</v>
      </c>
      <c r="D57" s="40">
        <v>500</v>
      </c>
      <c r="E57" s="162"/>
    </row>
    <row r="58" spans="1:5">
      <c r="E58" s="162"/>
    </row>
    <row r="59" spans="1:5">
      <c r="E59" s="162"/>
    </row>
    <row r="60" spans="1:5">
      <c r="E60" s="162"/>
    </row>
    <row r="61" spans="1:5">
      <c r="E61" s="162"/>
    </row>
    <row r="62" spans="1:5" ht="60">
      <c r="A62" s="17">
        <f>COUNT($A$5:A61)+1</f>
        <v>7</v>
      </c>
      <c r="B62" s="1" t="s">
        <v>1526</v>
      </c>
      <c r="E62" s="162"/>
    </row>
    <row r="63" spans="1:5" ht="60">
      <c r="B63" s="1" t="s">
        <v>13</v>
      </c>
      <c r="E63" s="162"/>
    </row>
    <row r="64" spans="1:5">
      <c r="B64" s="1" t="s">
        <v>10</v>
      </c>
      <c r="E64" s="162"/>
    </row>
    <row r="65" spans="1:6">
      <c r="B65" s="1" t="s">
        <v>405</v>
      </c>
      <c r="C65" s="29" t="s">
        <v>9</v>
      </c>
      <c r="D65" s="40">
        <f>(7.5*10*2)*1.1</f>
        <v>165</v>
      </c>
      <c r="E65" s="162"/>
    </row>
    <row r="66" spans="1:6">
      <c r="B66" s="1" t="s">
        <v>415</v>
      </c>
      <c r="C66" s="29" t="s">
        <v>11</v>
      </c>
      <c r="D66" s="40">
        <f>(20)*1</f>
        <v>20</v>
      </c>
      <c r="E66" s="162"/>
    </row>
    <row r="67" spans="1:6">
      <c r="E67" s="162"/>
    </row>
    <row r="68" spans="1:6">
      <c r="E68" s="162"/>
    </row>
    <row r="69" spans="1:6">
      <c r="E69" s="162"/>
    </row>
    <row r="70" spans="1:6">
      <c r="A70" s="17">
        <f>COUNT($A$5:A69)+1</f>
        <v>8</v>
      </c>
      <c r="B70" s="25" t="s">
        <v>477</v>
      </c>
      <c r="E70" s="162"/>
    </row>
    <row r="71" spans="1:6" ht="45">
      <c r="B71" s="1" t="s">
        <v>92</v>
      </c>
      <c r="E71" s="162"/>
    </row>
    <row r="72" spans="1:6" ht="45">
      <c r="B72" s="1" t="s">
        <v>91</v>
      </c>
      <c r="E72" s="162"/>
    </row>
    <row r="73" spans="1:6">
      <c r="B73" s="1" t="s">
        <v>241</v>
      </c>
      <c r="C73" s="29" t="s">
        <v>9</v>
      </c>
      <c r="D73" s="40">
        <f>(30*0.5)</f>
        <v>15</v>
      </c>
      <c r="E73" s="162"/>
    </row>
    <row r="74" spans="1:6">
      <c r="E74" s="162"/>
    </row>
    <row r="75" spans="1:6" s="59" customFormat="1">
      <c r="A75" s="135"/>
      <c r="B75" s="1"/>
      <c r="C75" s="69"/>
      <c r="D75" s="131"/>
      <c r="E75" s="190"/>
      <c r="F75" s="163"/>
    </row>
    <row r="76" spans="1:6" s="59" customFormat="1" ht="30">
      <c r="A76" s="133">
        <f>COUNT($A$5:A75)+1</f>
        <v>9</v>
      </c>
      <c r="B76" s="1" t="s">
        <v>131</v>
      </c>
      <c r="C76" s="58"/>
      <c r="D76" s="130"/>
      <c r="E76" s="169"/>
      <c r="F76" s="163"/>
    </row>
    <row r="77" spans="1:6" s="59" customFormat="1" ht="75">
      <c r="A77" s="136"/>
      <c r="B77" s="1" t="s">
        <v>132</v>
      </c>
      <c r="C77" s="58"/>
      <c r="D77" s="130"/>
      <c r="E77" s="169"/>
      <c r="F77" s="163"/>
    </row>
    <row r="78" spans="1:6" s="59" customFormat="1" ht="90">
      <c r="A78" s="136"/>
      <c r="B78" s="1" t="s">
        <v>184</v>
      </c>
      <c r="C78" s="58"/>
      <c r="D78" s="130"/>
      <c r="E78" s="169"/>
      <c r="F78" s="163"/>
    </row>
    <row r="79" spans="1:6" s="59" customFormat="1" ht="60">
      <c r="A79" s="136"/>
      <c r="B79" s="1" t="s">
        <v>133</v>
      </c>
      <c r="C79" s="58"/>
      <c r="D79" s="130"/>
      <c r="E79" s="169"/>
      <c r="F79" s="163"/>
    </row>
    <row r="80" spans="1:6" s="59" customFormat="1" ht="45">
      <c r="A80" s="136"/>
      <c r="B80" s="1" t="s">
        <v>134</v>
      </c>
      <c r="C80" s="58"/>
      <c r="D80" s="130"/>
      <c r="E80" s="169"/>
      <c r="F80" s="163"/>
    </row>
    <row r="81" spans="1:6" s="59" customFormat="1" ht="30">
      <c r="A81" s="136"/>
      <c r="B81" s="1" t="s">
        <v>135</v>
      </c>
      <c r="C81" s="58"/>
      <c r="D81" s="130"/>
      <c r="E81" s="169"/>
      <c r="F81" s="163"/>
    </row>
    <row r="82" spans="1:6" s="59" customFormat="1" ht="30">
      <c r="A82" s="547" t="s">
        <v>16</v>
      </c>
      <c r="B82" s="1" t="s">
        <v>478</v>
      </c>
      <c r="C82" s="69" t="s">
        <v>9</v>
      </c>
      <c r="D82" s="131">
        <v>10</v>
      </c>
      <c r="E82" s="190"/>
      <c r="F82" s="163"/>
    </row>
    <row r="83" spans="1:6" s="59" customFormat="1">
      <c r="A83" s="547" t="s">
        <v>17</v>
      </c>
      <c r="B83" s="1" t="s">
        <v>479</v>
      </c>
      <c r="C83" s="69" t="s">
        <v>9</v>
      </c>
      <c r="D83" s="131">
        <v>10</v>
      </c>
      <c r="E83" s="190"/>
      <c r="F83" s="163"/>
    </row>
    <row r="84" spans="1:6" s="59" customFormat="1">
      <c r="A84" s="547" t="s">
        <v>112</v>
      </c>
      <c r="B84" s="1" t="s">
        <v>480</v>
      </c>
      <c r="C84" s="69" t="s">
        <v>9</v>
      </c>
      <c r="D84" s="131">
        <v>5</v>
      </c>
      <c r="E84" s="190"/>
      <c r="F84" s="163"/>
    </row>
    <row r="85" spans="1:6" s="59" customFormat="1">
      <c r="A85" s="547" t="s">
        <v>114</v>
      </c>
      <c r="B85" s="1" t="s">
        <v>481</v>
      </c>
      <c r="C85" s="69" t="s">
        <v>11</v>
      </c>
      <c r="D85" s="131">
        <v>30</v>
      </c>
      <c r="E85" s="190"/>
      <c r="F85" s="163"/>
    </row>
    <row r="86" spans="1:6" s="59" customFormat="1">
      <c r="A86" s="135"/>
      <c r="B86" s="1"/>
      <c r="C86" s="69"/>
      <c r="D86" s="131"/>
      <c r="E86" s="190"/>
      <c r="F86" s="163"/>
    </row>
    <row r="87" spans="1:6">
      <c r="A87" s="17">
        <f>COUNT($A$5:A86)+1</f>
        <v>10</v>
      </c>
      <c r="B87" s="25" t="s">
        <v>400</v>
      </c>
      <c r="E87" s="162"/>
    </row>
    <row r="88" spans="1:6" ht="45">
      <c r="B88" s="1" t="s">
        <v>482</v>
      </c>
      <c r="E88" s="162"/>
    </row>
    <row r="89" spans="1:6" ht="30">
      <c r="B89" s="1" t="s">
        <v>95</v>
      </c>
      <c r="C89" s="29" t="s">
        <v>9</v>
      </c>
      <c r="D89" s="40">
        <v>140</v>
      </c>
      <c r="E89" s="162"/>
    </row>
    <row r="90" spans="1:6">
      <c r="E90" s="162"/>
    </row>
    <row r="91" spans="1:6">
      <c r="E91" s="162"/>
    </row>
    <row r="92" spans="1:6" s="59" customFormat="1">
      <c r="A92" s="135"/>
      <c r="B92" s="1"/>
      <c r="C92" s="58"/>
      <c r="D92" s="130"/>
      <c r="E92" s="169"/>
      <c r="F92" s="163"/>
    </row>
    <row r="93" spans="1:6">
      <c r="E93" s="162"/>
    </row>
    <row r="94" spans="1:6">
      <c r="E94" s="162"/>
    </row>
    <row r="95" spans="1:6">
      <c r="E95" s="162"/>
    </row>
    <row r="96" spans="1:6">
      <c r="E96" s="162"/>
    </row>
    <row r="97" spans="1:6">
      <c r="E97" s="162"/>
    </row>
    <row r="98" spans="1:6">
      <c r="E98" s="162"/>
    </row>
    <row r="99" spans="1:6">
      <c r="E99" s="162"/>
    </row>
    <row r="100" spans="1:6">
      <c r="A100" s="172" t="s">
        <v>77</v>
      </c>
      <c r="B100" s="173" t="s">
        <v>243</v>
      </c>
      <c r="C100" s="174"/>
      <c r="D100" s="175"/>
      <c r="E100" s="191"/>
      <c r="F100" s="177"/>
    </row>
    <row r="103" spans="1:6">
      <c r="B103" s="24"/>
      <c r="E103" s="162"/>
    </row>
    <row r="104" spans="1:6">
      <c r="B104" s="24"/>
      <c r="E104" s="162"/>
    </row>
    <row r="105" spans="1:6">
      <c r="B105" s="24"/>
      <c r="E105" s="162"/>
    </row>
    <row r="106" spans="1:6">
      <c r="B106" s="24"/>
      <c r="E106" s="162"/>
    </row>
    <row r="107" spans="1:6">
      <c r="B107" s="24"/>
      <c r="E107" s="162"/>
    </row>
    <row r="108" spans="1:6">
      <c r="B108" s="24"/>
      <c r="E108" s="162"/>
    </row>
    <row r="109" spans="1:6">
      <c r="B109" s="24"/>
      <c r="E109" s="162"/>
    </row>
    <row r="110" spans="1:6">
      <c r="B110" s="24"/>
      <c r="E110" s="162"/>
    </row>
    <row r="111" spans="1:6">
      <c r="B111" s="24"/>
      <c r="E111" s="162"/>
    </row>
    <row r="112" spans="1:6">
      <c r="B112" s="24"/>
      <c r="E112" s="162"/>
    </row>
    <row r="113" spans="1:6" s="55" customFormat="1">
      <c r="A113" s="17"/>
      <c r="B113" s="24"/>
      <c r="C113" s="29"/>
      <c r="D113" s="40"/>
      <c r="E113" s="162"/>
      <c r="F113" s="163"/>
    </row>
    <row r="114" spans="1:6" s="55" customFormat="1">
      <c r="A114" s="17"/>
      <c r="B114" s="24"/>
      <c r="C114" s="29"/>
      <c r="D114" s="40"/>
      <c r="E114" s="162"/>
      <c r="F114" s="163"/>
    </row>
    <row r="115" spans="1:6" s="55" customFormat="1">
      <c r="A115" s="17"/>
      <c r="B115" s="24"/>
      <c r="C115" s="29"/>
      <c r="D115" s="40"/>
      <c r="E115" s="162"/>
      <c r="F115" s="163"/>
    </row>
    <row r="116" spans="1:6" s="55" customFormat="1">
      <c r="A116" s="17"/>
      <c r="B116" s="24"/>
      <c r="C116" s="29"/>
      <c r="D116" s="40"/>
      <c r="E116" s="162"/>
      <c r="F116" s="163"/>
    </row>
    <row r="117" spans="1:6" s="55" customFormat="1">
      <c r="A117" s="17"/>
      <c r="B117" s="24"/>
      <c r="C117" s="29"/>
      <c r="D117" s="40"/>
      <c r="E117" s="162"/>
      <c r="F117" s="163"/>
    </row>
    <row r="118" spans="1:6" s="55" customFormat="1">
      <c r="A118" s="17"/>
      <c r="B118" s="24"/>
      <c r="C118" s="29"/>
      <c r="D118" s="40"/>
      <c r="E118" s="162"/>
      <c r="F118" s="163"/>
    </row>
    <row r="119" spans="1:6" s="55" customFormat="1">
      <c r="A119" s="17"/>
      <c r="B119" s="24"/>
      <c r="C119" s="29"/>
      <c r="D119" s="40"/>
      <c r="E119" s="162"/>
      <c r="F119" s="163"/>
    </row>
    <row r="120" spans="1:6" s="55" customFormat="1">
      <c r="A120" s="17"/>
      <c r="B120" s="24"/>
      <c r="C120" s="29"/>
      <c r="D120" s="40"/>
      <c r="E120" s="162"/>
      <c r="F120" s="163"/>
    </row>
    <row r="121" spans="1:6" s="55" customFormat="1">
      <c r="A121" s="17"/>
      <c r="B121" s="24"/>
      <c r="C121" s="29"/>
      <c r="D121" s="40"/>
      <c r="E121" s="162"/>
      <c r="F121" s="163"/>
    </row>
    <row r="122" spans="1:6" s="55" customFormat="1">
      <c r="A122" s="17"/>
      <c r="B122" s="24"/>
      <c r="C122" s="29"/>
      <c r="D122" s="40"/>
      <c r="E122" s="162"/>
      <c r="F122" s="163"/>
    </row>
    <row r="123" spans="1:6" s="55" customFormat="1">
      <c r="A123" s="17"/>
      <c r="B123" s="24"/>
      <c r="C123" s="29"/>
      <c r="D123" s="40"/>
      <c r="E123" s="162"/>
      <c r="F123" s="163"/>
    </row>
    <row r="124" spans="1:6" s="55" customFormat="1">
      <c r="A124" s="17"/>
      <c r="B124" s="24"/>
      <c r="C124" s="29"/>
      <c r="D124" s="40"/>
      <c r="E124" s="162"/>
      <c r="F124" s="163"/>
    </row>
    <row r="125" spans="1:6" s="55" customFormat="1" ht="98.25" customHeight="1">
      <c r="A125" s="17"/>
      <c r="B125" s="24"/>
      <c r="C125" s="29"/>
      <c r="D125" s="40"/>
      <c r="E125" s="162"/>
      <c r="F125" s="163"/>
    </row>
    <row r="126" spans="1:6" s="55" customFormat="1">
      <c r="A126" s="17"/>
      <c r="B126" s="24"/>
      <c r="C126" s="29"/>
      <c r="D126" s="40"/>
      <c r="E126" s="162"/>
      <c r="F126" s="163"/>
    </row>
    <row r="127" spans="1:6" s="55" customFormat="1">
      <c r="A127" s="17"/>
      <c r="B127" s="24"/>
      <c r="C127" s="29"/>
      <c r="D127" s="40"/>
      <c r="E127" s="162"/>
      <c r="F127" s="163"/>
    </row>
    <row r="128" spans="1:6" s="55" customFormat="1">
      <c r="A128" s="17"/>
      <c r="B128" s="24"/>
      <c r="C128" s="29"/>
      <c r="D128" s="40"/>
      <c r="E128" s="162"/>
      <c r="F128" s="163"/>
    </row>
    <row r="129" spans="1:6" s="55" customFormat="1">
      <c r="A129" s="17"/>
      <c r="B129" s="24"/>
      <c r="C129" s="29"/>
      <c r="D129" s="40"/>
      <c r="E129" s="162"/>
      <c r="F129" s="163"/>
    </row>
    <row r="130" spans="1:6" s="55" customFormat="1">
      <c r="A130" s="17"/>
      <c r="B130" s="24"/>
      <c r="C130" s="29"/>
      <c r="D130" s="40"/>
      <c r="E130" s="162"/>
      <c r="F130" s="163"/>
    </row>
    <row r="131" spans="1:6" s="55" customFormat="1">
      <c r="A131" s="17"/>
      <c r="B131" s="24"/>
      <c r="C131" s="29"/>
      <c r="D131" s="40"/>
      <c r="E131" s="162"/>
      <c r="F131" s="163"/>
    </row>
    <row r="132" spans="1:6" s="55" customFormat="1">
      <c r="A132" s="17"/>
      <c r="B132" s="24"/>
      <c r="C132" s="29"/>
      <c r="D132" s="40"/>
      <c r="E132" s="162"/>
      <c r="F132" s="163"/>
    </row>
    <row r="133" spans="1:6" s="55" customFormat="1">
      <c r="A133" s="17"/>
      <c r="B133" s="24"/>
      <c r="C133" s="29"/>
      <c r="D133" s="40"/>
      <c r="E133" s="162"/>
      <c r="F133" s="163"/>
    </row>
    <row r="134" spans="1:6" s="55" customFormat="1">
      <c r="A134" s="17"/>
      <c r="B134" s="24"/>
      <c r="C134" s="29"/>
      <c r="D134" s="40"/>
      <c r="E134" s="162"/>
      <c r="F134" s="163"/>
    </row>
    <row r="135" spans="1:6" s="55" customFormat="1">
      <c r="A135" s="17"/>
      <c r="B135" s="1"/>
      <c r="C135" s="29"/>
      <c r="D135" s="40"/>
      <c r="E135" s="162"/>
      <c r="F135" s="163"/>
    </row>
    <row r="136" spans="1:6" s="55" customFormat="1">
      <c r="A136" s="17"/>
      <c r="B136" s="1"/>
      <c r="C136" s="29"/>
      <c r="D136" s="40"/>
      <c r="E136" s="162"/>
      <c r="F136" s="163"/>
    </row>
    <row r="137" spans="1:6" s="55" customFormat="1">
      <c r="A137" s="17"/>
      <c r="B137" s="24"/>
      <c r="C137" s="29"/>
      <c r="D137" s="40"/>
      <c r="E137" s="162"/>
      <c r="F137" s="163"/>
    </row>
    <row r="138" spans="1:6" s="55" customFormat="1">
      <c r="A138" s="17"/>
      <c r="B138" s="24"/>
      <c r="C138" s="29"/>
      <c r="D138" s="40"/>
      <c r="E138" s="162"/>
      <c r="F138" s="163"/>
    </row>
    <row r="139" spans="1:6" s="55" customFormat="1">
      <c r="A139" s="17"/>
      <c r="B139" s="24"/>
      <c r="C139" s="29"/>
      <c r="D139" s="40"/>
      <c r="E139" s="162"/>
      <c r="F139" s="163"/>
    </row>
    <row r="140" spans="1:6" s="55" customFormat="1">
      <c r="A140" s="17"/>
      <c r="B140" s="24"/>
      <c r="C140" s="29"/>
      <c r="D140" s="40"/>
      <c r="E140" s="162"/>
      <c r="F140" s="163"/>
    </row>
    <row r="141" spans="1:6" s="55" customFormat="1">
      <c r="A141" s="17"/>
      <c r="B141" s="24"/>
      <c r="C141" s="29"/>
      <c r="D141" s="40"/>
      <c r="E141" s="162"/>
      <c r="F141" s="163"/>
    </row>
    <row r="142" spans="1:6" s="55" customFormat="1">
      <c r="A142" s="17"/>
      <c r="B142" s="24"/>
      <c r="C142" s="29"/>
      <c r="D142" s="40"/>
      <c r="E142" s="162"/>
      <c r="F142" s="163"/>
    </row>
    <row r="143" spans="1:6" s="55" customFormat="1">
      <c r="A143" s="17"/>
      <c r="B143" s="24"/>
      <c r="C143" s="29"/>
      <c r="D143" s="40"/>
      <c r="E143" s="162"/>
      <c r="F143" s="163"/>
    </row>
    <row r="144" spans="1:6" s="55" customFormat="1">
      <c r="A144" s="17"/>
      <c r="B144" s="24"/>
      <c r="C144" s="29"/>
      <c r="D144" s="40"/>
      <c r="E144" s="162"/>
      <c r="F144" s="163"/>
    </row>
    <row r="145" spans="1:6" s="55" customFormat="1">
      <c r="A145" s="17"/>
      <c r="B145" s="24"/>
      <c r="C145" s="29"/>
      <c r="D145" s="40"/>
      <c r="E145" s="162"/>
      <c r="F145" s="163"/>
    </row>
    <row r="146" spans="1:6" s="55" customFormat="1">
      <c r="A146" s="17"/>
      <c r="B146" s="24"/>
      <c r="C146" s="29"/>
      <c r="D146" s="40"/>
      <c r="E146" s="162"/>
      <c r="F146" s="163"/>
    </row>
    <row r="147" spans="1:6" s="55" customFormat="1">
      <c r="A147" s="17"/>
      <c r="B147" s="24"/>
      <c r="C147" s="29"/>
      <c r="D147" s="40"/>
      <c r="E147" s="162"/>
      <c r="F147" s="163"/>
    </row>
    <row r="148" spans="1:6" s="55" customFormat="1">
      <c r="A148" s="17"/>
      <c r="B148" s="24"/>
      <c r="C148" s="29"/>
      <c r="D148" s="40"/>
      <c r="E148" s="162"/>
      <c r="F148" s="163"/>
    </row>
    <row r="149" spans="1:6" s="55" customFormat="1">
      <c r="A149" s="17"/>
      <c r="B149" s="24"/>
      <c r="C149" s="29"/>
      <c r="D149" s="40"/>
      <c r="E149" s="162"/>
      <c r="F149" s="163"/>
    </row>
    <row r="150" spans="1:6" s="55" customFormat="1">
      <c r="A150" s="17"/>
      <c r="B150" s="24"/>
      <c r="C150" s="29"/>
      <c r="D150" s="40"/>
      <c r="E150" s="162"/>
      <c r="F150" s="163"/>
    </row>
    <row r="151" spans="1:6" s="55" customFormat="1">
      <c r="A151" s="17"/>
      <c r="B151" s="24"/>
      <c r="C151" s="29"/>
      <c r="D151" s="40"/>
      <c r="E151" s="162"/>
      <c r="F151" s="163"/>
    </row>
    <row r="152" spans="1:6" s="55" customFormat="1">
      <c r="A152" s="17"/>
      <c r="B152" s="24"/>
      <c r="C152" s="29"/>
      <c r="D152" s="40"/>
      <c r="E152" s="162"/>
      <c r="F152" s="163"/>
    </row>
    <row r="153" spans="1:6" s="55" customFormat="1">
      <c r="A153" s="17"/>
      <c r="B153" s="24"/>
      <c r="C153" s="29"/>
      <c r="D153" s="40"/>
      <c r="E153" s="162"/>
      <c r="F153" s="163"/>
    </row>
    <row r="154" spans="1:6" s="55" customFormat="1">
      <c r="A154" s="17"/>
      <c r="B154" s="24"/>
      <c r="C154" s="29"/>
      <c r="D154" s="40"/>
      <c r="E154" s="162"/>
      <c r="F154" s="163"/>
    </row>
    <row r="155" spans="1:6" s="55" customFormat="1">
      <c r="A155" s="17"/>
      <c r="B155" s="24"/>
      <c r="C155" s="29"/>
      <c r="D155" s="40"/>
      <c r="E155" s="162"/>
      <c r="F155" s="163"/>
    </row>
    <row r="156" spans="1:6" s="55" customFormat="1">
      <c r="A156" s="17"/>
      <c r="B156" s="24"/>
      <c r="C156" s="29"/>
      <c r="D156" s="40"/>
      <c r="E156" s="162"/>
      <c r="F156" s="163"/>
    </row>
    <row r="157" spans="1:6" s="55" customFormat="1">
      <c r="A157" s="17"/>
      <c r="B157" s="24"/>
      <c r="C157" s="29"/>
      <c r="D157" s="40"/>
      <c r="E157" s="162"/>
      <c r="F157" s="163"/>
    </row>
    <row r="158" spans="1:6" s="55" customFormat="1">
      <c r="A158" s="17"/>
      <c r="B158" s="24"/>
      <c r="C158" s="29"/>
      <c r="D158" s="40"/>
      <c r="E158" s="162"/>
      <c r="F158" s="163"/>
    </row>
    <row r="159" spans="1:6" s="55" customFormat="1">
      <c r="A159" s="17"/>
      <c r="B159" s="24"/>
      <c r="C159" s="29"/>
      <c r="D159" s="40"/>
      <c r="E159" s="162"/>
      <c r="F159" s="163"/>
    </row>
    <row r="160" spans="1:6" s="55" customFormat="1">
      <c r="A160" s="17"/>
      <c r="B160" s="24"/>
      <c r="C160" s="29"/>
      <c r="D160" s="40"/>
      <c r="E160" s="162"/>
      <c r="F160" s="163"/>
    </row>
    <row r="161" spans="1:6" s="55" customFormat="1">
      <c r="A161" s="17"/>
      <c r="B161" s="24"/>
      <c r="C161" s="29"/>
      <c r="D161" s="40"/>
      <c r="E161" s="162"/>
      <c r="F161" s="163"/>
    </row>
    <row r="162" spans="1:6" s="55" customFormat="1">
      <c r="A162" s="17"/>
      <c r="B162" s="24"/>
      <c r="C162" s="29"/>
      <c r="D162" s="40"/>
      <c r="E162" s="162"/>
      <c r="F162" s="163"/>
    </row>
    <row r="163" spans="1:6" s="55" customFormat="1">
      <c r="A163" s="17"/>
      <c r="B163" s="24"/>
      <c r="C163" s="29"/>
      <c r="D163" s="40"/>
      <c r="E163" s="162"/>
      <c r="F163" s="163"/>
    </row>
    <row r="164" spans="1:6" s="55" customFormat="1">
      <c r="A164" s="17"/>
      <c r="B164" s="24"/>
      <c r="C164" s="29"/>
      <c r="D164" s="40"/>
      <c r="E164" s="162"/>
      <c r="F164" s="163"/>
    </row>
    <row r="165" spans="1:6" s="55" customFormat="1">
      <c r="A165" s="17"/>
      <c r="B165" s="24"/>
      <c r="C165" s="29"/>
      <c r="D165" s="40"/>
      <c r="E165" s="162"/>
      <c r="F165" s="163"/>
    </row>
    <row r="166" spans="1:6" s="55" customFormat="1">
      <c r="A166" s="17"/>
      <c r="B166" s="24"/>
      <c r="C166" s="29"/>
      <c r="D166" s="40"/>
      <c r="E166" s="162"/>
      <c r="F166" s="163"/>
    </row>
    <row r="167" spans="1:6" s="55" customFormat="1">
      <c r="A167" s="17"/>
      <c r="B167" s="24"/>
      <c r="C167" s="29"/>
      <c r="D167" s="40"/>
      <c r="E167" s="162"/>
      <c r="F167" s="163"/>
    </row>
    <row r="168" spans="1:6" s="55" customFormat="1">
      <c r="A168" s="17"/>
      <c r="B168" s="24"/>
      <c r="C168" s="29"/>
      <c r="D168" s="40"/>
      <c r="E168" s="162"/>
      <c r="F168" s="163"/>
    </row>
    <row r="169" spans="1:6" s="55" customFormat="1">
      <c r="A169" s="17"/>
      <c r="B169" s="24"/>
      <c r="C169" s="29"/>
      <c r="D169" s="40"/>
      <c r="E169" s="162"/>
      <c r="F169" s="163"/>
    </row>
    <row r="170" spans="1:6" s="55" customFormat="1">
      <c r="A170" s="17"/>
      <c r="B170" s="24"/>
      <c r="C170" s="29"/>
      <c r="D170" s="40"/>
      <c r="E170" s="162"/>
      <c r="F170" s="163"/>
    </row>
    <row r="171" spans="1:6" s="55" customFormat="1">
      <c r="A171" s="17"/>
      <c r="B171" s="24"/>
      <c r="C171" s="29"/>
      <c r="D171" s="40"/>
      <c r="E171" s="162"/>
      <c r="F171" s="163"/>
    </row>
    <row r="172" spans="1:6" s="55" customFormat="1">
      <c r="A172" s="17"/>
      <c r="B172" s="24"/>
      <c r="C172" s="29"/>
      <c r="D172" s="40"/>
      <c r="E172" s="162"/>
      <c r="F172" s="163"/>
    </row>
    <row r="173" spans="1:6" s="55" customFormat="1">
      <c r="A173" s="17"/>
      <c r="B173" s="24"/>
      <c r="C173" s="29"/>
      <c r="D173" s="40"/>
      <c r="E173" s="162"/>
      <c r="F173" s="163"/>
    </row>
    <row r="174" spans="1:6" s="55" customFormat="1">
      <c r="A174" s="17"/>
      <c r="B174" s="24"/>
      <c r="C174" s="29"/>
      <c r="D174" s="40"/>
      <c r="E174" s="162"/>
      <c r="F174" s="163"/>
    </row>
    <row r="175" spans="1:6" s="55" customFormat="1">
      <c r="A175" s="17"/>
      <c r="B175" s="24"/>
      <c r="C175" s="29"/>
      <c r="D175" s="40"/>
      <c r="E175" s="162"/>
      <c r="F175" s="163"/>
    </row>
    <row r="176" spans="1:6" s="55" customFormat="1">
      <c r="A176" s="17"/>
      <c r="B176" s="24"/>
      <c r="C176" s="29"/>
      <c r="D176" s="40"/>
      <c r="E176" s="162"/>
      <c r="F176" s="163"/>
    </row>
    <row r="177" spans="1:6" s="55" customFormat="1">
      <c r="A177" s="17"/>
      <c r="B177" s="24"/>
      <c r="C177" s="29"/>
      <c r="D177" s="40"/>
      <c r="E177" s="162"/>
      <c r="F177" s="163"/>
    </row>
    <row r="178" spans="1:6" s="55" customFormat="1">
      <c r="A178" s="17"/>
      <c r="B178" s="24"/>
      <c r="C178" s="29"/>
      <c r="D178" s="40"/>
      <c r="E178" s="162"/>
      <c r="F178" s="163"/>
    </row>
    <row r="179" spans="1:6" s="55" customFormat="1">
      <c r="A179" s="17"/>
      <c r="B179" s="24"/>
      <c r="C179" s="29"/>
      <c r="D179" s="40"/>
      <c r="E179" s="162"/>
      <c r="F179" s="163"/>
    </row>
    <row r="180" spans="1:6" s="55" customFormat="1">
      <c r="A180" s="17"/>
      <c r="B180" s="24"/>
      <c r="C180" s="29"/>
      <c r="D180" s="40"/>
      <c r="E180" s="162"/>
      <c r="F180" s="163"/>
    </row>
    <row r="181" spans="1:6" s="55" customFormat="1">
      <c r="A181" s="17"/>
      <c r="B181" s="24"/>
      <c r="C181" s="29"/>
      <c r="D181" s="40"/>
      <c r="E181" s="162"/>
      <c r="F181" s="163"/>
    </row>
    <row r="182" spans="1:6" s="55" customFormat="1">
      <c r="A182" s="17"/>
      <c r="B182" s="24"/>
      <c r="C182" s="29"/>
      <c r="D182" s="40"/>
      <c r="E182" s="162"/>
      <c r="F182" s="163"/>
    </row>
    <row r="183" spans="1:6" s="55" customFormat="1">
      <c r="A183" s="17"/>
      <c r="B183" s="24"/>
      <c r="C183" s="29"/>
      <c r="D183" s="40"/>
      <c r="E183" s="162"/>
      <c r="F183" s="163"/>
    </row>
    <row r="184" spans="1:6" s="55" customFormat="1">
      <c r="A184" s="17"/>
      <c r="B184" s="24"/>
      <c r="C184" s="29"/>
      <c r="D184" s="40"/>
      <c r="E184" s="162"/>
      <c r="F184" s="163"/>
    </row>
    <row r="185" spans="1:6" s="55" customFormat="1">
      <c r="A185" s="17"/>
      <c r="B185" s="24"/>
      <c r="C185" s="29"/>
      <c r="D185" s="40"/>
      <c r="E185" s="162"/>
      <c r="F185" s="163"/>
    </row>
    <row r="186" spans="1:6" s="55" customFormat="1">
      <c r="A186" s="17"/>
      <c r="B186" s="24"/>
      <c r="C186" s="29"/>
      <c r="D186" s="40"/>
      <c r="E186" s="162"/>
      <c r="F186" s="163"/>
    </row>
    <row r="187" spans="1:6" s="55" customFormat="1">
      <c r="A187" s="17"/>
      <c r="B187" s="24"/>
      <c r="C187" s="29"/>
      <c r="D187" s="40"/>
      <c r="E187" s="162"/>
      <c r="F187" s="163"/>
    </row>
    <row r="188" spans="1:6" s="55" customFormat="1">
      <c r="A188" s="17"/>
      <c r="B188" s="24"/>
      <c r="C188" s="29"/>
      <c r="D188" s="40"/>
      <c r="E188" s="162"/>
      <c r="F188" s="163"/>
    </row>
    <row r="189" spans="1:6" s="55" customFormat="1">
      <c r="A189" s="17"/>
      <c r="B189" s="24"/>
      <c r="C189" s="29"/>
      <c r="D189" s="40"/>
      <c r="E189" s="162"/>
      <c r="F189" s="163"/>
    </row>
    <row r="190" spans="1:6" s="55" customFormat="1">
      <c r="A190" s="17"/>
      <c r="B190" s="24"/>
      <c r="C190" s="29"/>
      <c r="D190" s="40"/>
      <c r="E190" s="162"/>
      <c r="F190" s="163"/>
    </row>
    <row r="191" spans="1:6" s="55" customFormat="1">
      <c r="A191" s="17"/>
      <c r="B191" s="24"/>
      <c r="C191" s="29"/>
      <c r="D191" s="40"/>
      <c r="E191" s="162"/>
      <c r="F191" s="163"/>
    </row>
    <row r="192" spans="1:6" s="55" customFormat="1">
      <c r="A192" s="17"/>
      <c r="B192" s="24"/>
      <c r="C192" s="29"/>
      <c r="D192" s="40"/>
      <c r="E192" s="162"/>
      <c r="F192" s="163"/>
    </row>
    <row r="193" spans="1:6" s="55" customFormat="1">
      <c r="A193" s="17"/>
      <c r="B193" s="24"/>
      <c r="C193" s="29"/>
      <c r="D193" s="40"/>
      <c r="E193" s="162"/>
      <c r="F193" s="163"/>
    </row>
    <row r="194" spans="1:6" s="55" customFormat="1">
      <c r="A194" s="17"/>
      <c r="B194" s="24"/>
      <c r="C194" s="29"/>
      <c r="D194" s="40"/>
      <c r="E194" s="162"/>
      <c r="F194" s="163"/>
    </row>
    <row r="195" spans="1:6" s="55" customFormat="1">
      <c r="A195" s="17"/>
      <c r="B195" s="24"/>
      <c r="C195" s="29"/>
      <c r="D195" s="40"/>
      <c r="E195" s="162"/>
      <c r="F195" s="163"/>
    </row>
    <row r="196" spans="1:6" s="55" customFormat="1">
      <c r="A196" s="17"/>
      <c r="B196" s="24"/>
      <c r="C196" s="29"/>
      <c r="D196" s="40"/>
      <c r="E196" s="162"/>
      <c r="F196" s="163"/>
    </row>
    <row r="197" spans="1:6" s="55" customFormat="1">
      <c r="A197" s="17"/>
      <c r="B197" s="24"/>
      <c r="C197" s="29"/>
      <c r="D197" s="40"/>
      <c r="E197" s="162"/>
      <c r="F197" s="163"/>
    </row>
    <row r="198" spans="1:6" s="55" customFormat="1">
      <c r="A198" s="17"/>
      <c r="B198" s="24"/>
      <c r="C198" s="29"/>
      <c r="D198" s="40"/>
      <c r="E198" s="162"/>
      <c r="F198" s="163"/>
    </row>
    <row r="199" spans="1:6" s="55" customFormat="1">
      <c r="A199" s="17"/>
      <c r="B199" s="24"/>
      <c r="C199" s="29"/>
      <c r="D199" s="40"/>
      <c r="E199" s="162"/>
      <c r="F199" s="163"/>
    </row>
    <row r="200" spans="1:6" s="55" customFormat="1">
      <c r="A200" s="17"/>
      <c r="B200" s="24"/>
      <c r="C200" s="29"/>
      <c r="D200" s="40"/>
      <c r="E200" s="162"/>
      <c r="F200" s="163"/>
    </row>
    <row r="201" spans="1:6" s="55" customFormat="1">
      <c r="A201" s="17"/>
      <c r="B201" s="24"/>
      <c r="C201" s="29"/>
      <c r="D201" s="40"/>
      <c r="E201" s="162"/>
      <c r="F201" s="163"/>
    </row>
    <row r="202" spans="1:6" s="55" customFormat="1">
      <c r="A202" s="17"/>
      <c r="B202" s="24"/>
      <c r="C202" s="29"/>
      <c r="D202" s="40"/>
      <c r="E202" s="162"/>
      <c r="F202" s="163"/>
    </row>
    <row r="203" spans="1:6" s="55" customFormat="1">
      <c r="A203" s="17"/>
      <c r="B203" s="24"/>
      <c r="C203" s="29"/>
      <c r="D203" s="40"/>
      <c r="E203" s="162"/>
      <c r="F203" s="163"/>
    </row>
    <row r="204" spans="1:6" s="55" customFormat="1">
      <c r="A204" s="17"/>
      <c r="B204" s="24"/>
      <c r="C204" s="29"/>
      <c r="D204" s="40"/>
      <c r="E204" s="162"/>
      <c r="F204" s="163"/>
    </row>
    <row r="205" spans="1:6" s="55" customFormat="1">
      <c r="A205" s="17"/>
      <c r="B205" s="24"/>
      <c r="C205" s="29"/>
      <c r="D205" s="40"/>
      <c r="E205" s="162"/>
      <c r="F205" s="163"/>
    </row>
    <row r="206" spans="1:6" s="55" customFormat="1">
      <c r="A206" s="17"/>
      <c r="B206" s="24"/>
      <c r="C206" s="29"/>
      <c r="D206" s="40"/>
      <c r="E206" s="162"/>
      <c r="F206" s="163"/>
    </row>
    <row r="207" spans="1:6" s="55" customFormat="1">
      <c r="A207" s="17"/>
      <c r="B207" s="24"/>
      <c r="C207" s="29"/>
      <c r="D207" s="40"/>
      <c r="E207" s="162"/>
      <c r="F207" s="163"/>
    </row>
    <row r="208" spans="1:6" s="55" customFormat="1">
      <c r="A208" s="17"/>
      <c r="B208" s="24"/>
      <c r="C208" s="29"/>
      <c r="D208" s="40"/>
      <c r="E208" s="162"/>
      <c r="F208" s="163"/>
    </row>
    <row r="209" spans="1:6" s="55" customFormat="1">
      <c r="A209" s="17"/>
      <c r="B209" s="24"/>
      <c r="C209" s="29"/>
      <c r="D209" s="40"/>
      <c r="E209" s="162"/>
      <c r="F209" s="163"/>
    </row>
    <row r="210" spans="1:6" s="55" customFormat="1">
      <c r="A210" s="17"/>
      <c r="B210" s="24"/>
      <c r="C210" s="29"/>
      <c r="D210" s="40"/>
      <c r="E210" s="162"/>
      <c r="F210" s="163"/>
    </row>
    <row r="211" spans="1:6" s="55" customFormat="1">
      <c r="A211" s="17"/>
      <c r="B211" s="24"/>
      <c r="C211" s="29"/>
      <c r="D211" s="40"/>
      <c r="E211" s="162"/>
      <c r="F211" s="163"/>
    </row>
    <row r="212" spans="1:6" s="55" customFormat="1">
      <c r="A212" s="17"/>
      <c r="B212" s="24"/>
      <c r="C212" s="29"/>
      <c r="D212" s="40"/>
      <c r="E212" s="162"/>
      <c r="F212" s="163"/>
    </row>
    <row r="213" spans="1:6" s="55" customFormat="1">
      <c r="A213" s="17"/>
      <c r="B213" s="24"/>
      <c r="C213" s="29"/>
      <c r="D213" s="40"/>
      <c r="E213" s="162"/>
      <c r="F213" s="163"/>
    </row>
    <row r="214" spans="1:6" s="55" customFormat="1">
      <c r="A214" s="17"/>
      <c r="B214" s="24"/>
      <c r="C214" s="29"/>
      <c r="D214" s="40"/>
      <c r="E214" s="162"/>
      <c r="F214" s="163"/>
    </row>
    <row r="215" spans="1:6" s="55" customFormat="1">
      <c r="A215" s="17"/>
      <c r="B215" s="24"/>
      <c r="C215" s="29"/>
      <c r="D215" s="40"/>
      <c r="E215" s="162"/>
      <c r="F215" s="163"/>
    </row>
    <row r="216" spans="1:6" s="55" customFormat="1">
      <c r="A216" s="17"/>
      <c r="B216" s="24"/>
      <c r="C216" s="29"/>
      <c r="D216" s="40"/>
      <c r="E216" s="162"/>
      <c r="F216" s="163"/>
    </row>
    <row r="217" spans="1:6" s="55" customFormat="1">
      <c r="A217" s="17"/>
      <c r="B217" s="24"/>
      <c r="C217" s="29"/>
      <c r="D217" s="40"/>
      <c r="E217" s="162"/>
      <c r="F217" s="163"/>
    </row>
    <row r="218" spans="1:6" s="55" customFormat="1">
      <c r="A218" s="17"/>
      <c r="B218" s="24"/>
      <c r="C218" s="29"/>
      <c r="D218" s="40"/>
      <c r="E218" s="162"/>
      <c r="F218" s="163"/>
    </row>
    <row r="219" spans="1:6" s="55" customFormat="1">
      <c r="A219" s="17"/>
      <c r="B219" s="1"/>
      <c r="C219" s="29"/>
      <c r="D219" s="40"/>
      <c r="E219" s="162"/>
      <c r="F219" s="163"/>
    </row>
    <row r="220" spans="1:6" s="55" customFormat="1">
      <c r="A220" s="17"/>
      <c r="B220" s="1"/>
      <c r="C220" s="29"/>
      <c r="D220" s="40"/>
      <c r="E220" s="162"/>
      <c r="F220" s="163"/>
    </row>
    <row r="221" spans="1:6" s="55" customFormat="1">
      <c r="A221" s="17"/>
      <c r="B221" s="1"/>
      <c r="C221" s="29"/>
      <c r="D221" s="40"/>
      <c r="E221" s="162"/>
      <c r="F221" s="163"/>
    </row>
    <row r="222" spans="1:6" s="55" customFormat="1">
      <c r="A222" s="17"/>
      <c r="B222" s="1"/>
      <c r="C222" s="29"/>
      <c r="D222" s="40"/>
      <c r="E222" s="162"/>
      <c r="F222" s="163"/>
    </row>
    <row r="223" spans="1:6" s="55" customFormat="1">
      <c r="A223" s="17"/>
      <c r="B223" s="1"/>
      <c r="C223" s="29"/>
      <c r="D223" s="40"/>
      <c r="E223" s="162"/>
      <c r="F223" s="163"/>
    </row>
    <row r="224" spans="1:6" s="55" customFormat="1">
      <c r="A224" s="17"/>
      <c r="B224" s="1"/>
      <c r="C224" s="29"/>
      <c r="D224" s="40"/>
      <c r="E224" s="162"/>
      <c r="F224" s="163"/>
    </row>
    <row r="225" spans="1:6" s="55" customFormat="1">
      <c r="A225" s="17"/>
      <c r="B225" s="1"/>
      <c r="C225" s="29"/>
      <c r="D225" s="40"/>
      <c r="E225" s="162"/>
      <c r="F225" s="163"/>
    </row>
    <row r="226" spans="1:6" s="55" customFormat="1">
      <c r="A226" s="17"/>
      <c r="B226" s="1"/>
      <c r="C226" s="29"/>
      <c r="D226" s="40"/>
      <c r="E226" s="162"/>
      <c r="F226" s="163"/>
    </row>
    <row r="227" spans="1:6" s="55" customFormat="1">
      <c r="A227" s="17"/>
      <c r="B227" s="1"/>
      <c r="C227" s="29"/>
      <c r="D227" s="40"/>
      <c r="E227" s="162"/>
      <c r="F227" s="163"/>
    </row>
    <row r="228" spans="1:6" s="55" customFormat="1">
      <c r="A228" s="17"/>
      <c r="B228" s="1"/>
      <c r="C228" s="29"/>
      <c r="D228" s="40"/>
      <c r="E228" s="162"/>
      <c r="F228" s="163"/>
    </row>
    <row r="229" spans="1:6" s="55" customFormat="1">
      <c r="A229" s="17"/>
      <c r="B229" s="1"/>
      <c r="C229" s="29"/>
      <c r="D229" s="40"/>
      <c r="E229" s="162"/>
      <c r="F229" s="163"/>
    </row>
    <row r="230" spans="1:6" s="55" customFormat="1">
      <c r="A230" s="17"/>
      <c r="B230" s="1"/>
      <c r="C230" s="29"/>
      <c r="D230" s="40"/>
      <c r="E230" s="162"/>
      <c r="F230" s="163"/>
    </row>
    <row r="231" spans="1:6" s="55" customFormat="1">
      <c r="A231" s="17"/>
      <c r="B231" s="1"/>
      <c r="C231" s="29"/>
      <c r="D231" s="40"/>
      <c r="E231" s="162"/>
      <c r="F231" s="163"/>
    </row>
    <row r="232" spans="1:6" s="55" customFormat="1">
      <c r="A232" s="17"/>
      <c r="B232" s="1"/>
      <c r="C232" s="29"/>
      <c r="D232" s="40"/>
      <c r="E232" s="162"/>
      <c r="F232" s="163"/>
    </row>
    <row r="233" spans="1:6" s="55" customFormat="1">
      <c r="A233" s="17"/>
      <c r="B233" s="1"/>
      <c r="C233" s="29"/>
      <c r="D233" s="40"/>
      <c r="E233" s="162"/>
      <c r="F233" s="163"/>
    </row>
    <row r="234" spans="1:6" s="55" customFormat="1">
      <c r="A234" s="17"/>
      <c r="B234" s="1"/>
      <c r="C234" s="29"/>
      <c r="D234" s="40"/>
      <c r="E234" s="162"/>
      <c r="F234" s="163"/>
    </row>
    <row r="235" spans="1:6" s="55" customFormat="1">
      <c r="A235" s="17"/>
      <c r="B235" s="1"/>
      <c r="C235" s="29"/>
      <c r="D235" s="40"/>
      <c r="E235" s="162"/>
      <c r="F235" s="163"/>
    </row>
    <row r="236" spans="1:6" s="55" customFormat="1">
      <c r="A236" s="17"/>
      <c r="B236" s="1"/>
      <c r="C236" s="29"/>
      <c r="D236" s="40"/>
      <c r="E236" s="162"/>
      <c r="F236" s="163"/>
    </row>
    <row r="237" spans="1:6" s="55" customFormat="1">
      <c r="A237" s="17"/>
      <c r="B237" s="1"/>
      <c r="C237" s="29"/>
      <c r="D237" s="40"/>
      <c r="E237" s="162"/>
      <c r="F237" s="163"/>
    </row>
    <row r="238" spans="1:6" s="55" customFormat="1">
      <c r="A238" s="17"/>
      <c r="B238" s="1"/>
      <c r="C238" s="29"/>
      <c r="D238" s="40"/>
      <c r="E238" s="162"/>
      <c r="F238" s="163"/>
    </row>
    <row r="239" spans="1:6" s="55" customFormat="1">
      <c r="A239" s="17"/>
      <c r="B239" s="1"/>
      <c r="C239" s="29"/>
      <c r="D239" s="40"/>
      <c r="E239" s="162"/>
      <c r="F239" s="163"/>
    </row>
    <row r="240" spans="1:6" s="55" customFormat="1">
      <c r="A240" s="17"/>
      <c r="B240" s="1"/>
      <c r="C240" s="29"/>
      <c r="D240" s="40"/>
      <c r="E240" s="162"/>
      <c r="F240" s="163"/>
    </row>
    <row r="241" spans="1:6" s="55" customFormat="1">
      <c r="A241" s="17"/>
      <c r="B241" s="1"/>
      <c r="C241" s="29"/>
      <c r="D241" s="40"/>
      <c r="E241" s="162"/>
      <c r="F241" s="163"/>
    </row>
    <row r="242" spans="1:6" s="55" customFormat="1">
      <c r="A242" s="17"/>
      <c r="B242" s="1"/>
      <c r="C242" s="29"/>
      <c r="D242" s="40"/>
      <c r="E242" s="162"/>
      <c r="F242" s="163"/>
    </row>
    <row r="243" spans="1:6" s="55" customFormat="1">
      <c r="A243" s="17"/>
      <c r="B243" s="1"/>
      <c r="C243" s="29"/>
      <c r="D243" s="40"/>
      <c r="E243" s="162"/>
      <c r="F243" s="163"/>
    </row>
    <row r="244" spans="1:6" s="55" customFormat="1">
      <c r="A244" s="17"/>
      <c r="B244" s="1"/>
      <c r="C244" s="29"/>
      <c r="D244" s="40"/>
      <c r="E244" s="162"/>
      <c r="F244" s="163"/>
    </row>
    <row r="245" spans="1:6" s="55" customFormat="1">
      <c r="A245" s="17"/>
      <c r="B245" s="1"/>
      <c r="C245" s="29"/>
      <c r="D245" s="40"/>
      <c r="E245" s="162"/>
      <c r="F245" s="163"/>
    </row>
    <row r="246" spans="1:6" s="55" customFormat="1">
      <c r="A246" s="17"/>
      <c r="B246" s="1"/>
      <c r="C246" s="29"/>
      <c r="D246" s="40"/>
      <c r="E246" s="162"/>
      <c r="F246" s="163"/>
    </row>
    <row r="247" spans="1:6" s="55" customFormat="1">
      <c r="A247" s="17"/>
      <c r="B247" s="1"/>
      <c r="C247" s="29"/>
      <c r="D247" s="40"/>
      <c r="E247" s="162"/>
      <c r="F247" s="163"/>
    </row>
    <row r="248" spans="1:6" s="55" customFormat="1">
      <c r="A248" s="17"/>
      <c r="B248" s="1"/>
      <c r="C248" s="29"/>
      <c r="D248" s="40"/>
      <c r="E248" s="162"/>
      <c r="F248" s="163"/>
    </row>
    <row r="249" spans="1:6" s="55" customFormat="1">
      <c r="A249" s="17"/>
      <c r="B249" s="1"/>
      <c r="C249" s="29"/>
      <c r="D249" s="40"/>
      <c r="E249" s="162"/>
      <c r="F249" s="163"/>
    </row>
    <row r="250" spans="1:6" s="55" customFormat="1">
      <c r="A250" s="17"/>
      <c r="B250" s="1"/>
      <c r="C250" s="29"/>
      <c r="D250" s="40"/>
      <c r="E250" s="162"/>
      <c r="F250" s="163"/>
    </row>
    <row r="251" spans="1:6" s="55" customFormat="1">
      <c r="A251" s="17"/>
      <c r="B251" s="24"/>
      <c r="C251" s="29"/>
      <c r="D251" s="40"/>
      <c r="E251" s="162"/>
      <c r="F251" s="163"/>
    </row>
    <row r="252" spans="1:6" s="55" customFormat="1">
      <c r="A252" s="17"/>
      <c r="B252" s="24"/>
      <c r="C252" s="29"/>
      <c r="D252" s="40"/>
      <c r="E252" s="162"/>
      <c r="F252" s="163"/>
    </row>
    <row r="253" spans="1:6" s="55" customFormat="1">
      <c r="A253" s="17"/>
      <c r="B253" s="24"/>
      <c r="C253" s="29"/>
      <c r="D253" s="40"/>
      <c r="E253" s="162"/>
      <c r="F253" s="163"/>
    </row>
    <row r="254" spans="1:6" s="55" customFormat="1">
      <c r="A254" s="17"/>
      <c r="B254" s="24"/>
      <c r="C254" s="29"/>
      <c r="D254" s="40"/>
      <c r="E254" s="162"/>
      <c r="F254" s="163"/>
    </row>
    <row r="255" spans="1:6" s="55" customFormat="1">
      <c r="A255" s="17"/>
      <c r="B255" s="24"/>
      <c r="C255" s="29"/>
      <c r="D255" s="40"/>
      <c r="E255" s="162"/>
      <c r="F255" s="163"/>
    </row>
    <row r="256" spans="1:6" s="55" customFormat="1">
      <c r="A256" s="17"/>
      <c r="B256" s="24"/>
      <c r="C256" s="29"/>
      <c r="D256" s="40"/>
      <c r="E256" s="162"/>
      <c r="F256" s="163"/>
    </row>
    <row r="257" spans="1:6" s="55" customFormat="1">
      <c r="A257" s="17"/>
      <c r="B257" s="24"/>
      <c r="C257" s="29"/>
      <c r="D257" s="40"/>
      <c r="E257" s="162"/>
      <c r="F257" s="163"/>
    </row>
    <row r="258" spans="1:6" s="55" customFormat="1">
      <c r="A258" s="17"/>
      <c r="B258" s="24"/>
      <c r="C258" s="29"/>
      <c r="D258" s="40"/>
      <c r="E258" s="162"/>
      <c r="F258" s="163"/>
    </row>
    <row r="259" spans="1:6" s="55" customFormat="1">
      <c r="A259" s="17"/>
      <c r="B259" s="24"/>
      <c r="C259" s="29"/>
      <c r="D259" s="40"/>
      <c r="E259" s="162"/>
      <c r="F259" s="163"/>
    </row>
    <row r="260" spans="1:6" s="55" customFormat="1">
      <c r="A260" s="17"/>
      <c r="B260" s="24"/>
      <c r="C260" s="29"/>
      <c r="D260" s="40"/>
      <c r="E260" s="162"/>
      <c r="F260" s="163"/>
    </row>
    <row r="261" spans="1:6" s="55" customFormat="1">
      <c r="A261" s="17"/>
      <c r="B261" s="24"/>
      <c r="C261" s="29"/>
      <c r="D261" s="40"/>
      <c r="E261" s="162"/>
      <c r="F261" s="163"/>
    </row>
    <row r="262" spans="1:6" s="55" customFormat="1">
      <c r="A262" s="17"/>
      <c r="B262" s="24"/>
      <c r="C262" s="29"/>
      <c r="D262" s="40"/>
      <c r="E262" s="162"/>
      <c r="F262" s="163"/>
    </row>
    <row r="263" spans="1:6" s="55" customFormat="1">
      <c r="A263" s="17"/>
      <c r="B263" s="24"/>
      <c r="C263" s="29"/>
      <c r="D263" s="40"/>
      <c r="E263" s="162"/>
      <c r="F263" s="163"/>
    </row>
    <row r="264" spans="1:6" s="55" customFormat="1">
      <c r="A264" s="17"/>
      <c r="B264" s="24"/>
      <c r="C264" s="29"/>
      <c r="D264" s="40"/>
      <c r="E264" s="162"/>
      <c r="F264" s="163"/>
    </row>
    <row r="265" spans="1:6" s="55" customFormat="1">
      <c r="A265" s="17"/>
      <c r="B265" s="24"/>
      <c r="C265" s="29"/>
      <c r="D265" s="40"/>
      <c r="E265" s="162"/>
      <c r="F265" s="163"/>
    </row>
    <row r="266" spans="1:6" s="55" customFormat="1">
      <c r="A266" s="17"/>
      <c r="B266" s="24"/>
      <c r="C266" s="29"/>
      <c r="D266" s="40"/>
      <c r="E266" s="162"/>
      <c r="F266" s="163"/>
    </row>
    <row r="267" spans="1:6" s="55" customFormat="1">
      <c r="A267" s="17"/>
      <c r="B267" s="24"/>
      <c r="C267" s="29"/>
      <c r="D267" s="40"/>
      <c r="E267" s="162"/>
      <c r="F267" s="163"/>
    </row>
    <row r="268" spans="1:6" s="55" customFormat="1">
      <c r="A268" s="17"/>
      <c r="B268" s="24"/>
      <c r="C268" s="29"/>
      <c r="D268" s="40"/>
      <c r="E268" s="162"/>
      <c r="F268" s="163"/>
    </row>
    <row r="269" spans="1:6" s="55" customFormat="1">
      <c r="A269" s="17"/>
      <c r="B269" s="24"/>
      <c r="C269" s="29"/>
      <c r="D269" s="40"/>
      <c r="E269" s="162"/>
      <c r="F269" s="163"/>
    </row>
    <row r="270" spans="1:6" s="55" customFormat="1">
      <c r="A270" s="17"/>
      <c r="B270" s="24"/>
      <c r="C270" s="29"/>
      <c r="D270" s="40"/>
      <c r="E270" s="162"/>
      <c r="F270" s="163"/>
    </row>
    <row r="271" spans="1:6" s="55" customFormat="1">
      <c r="A271" s="17"/>
      <c r="B271" s="24"/>
      <c r="C271" s="29"/>
      <c r="D271" s="40"/>
      <c r="E271" s="162"/>
      <c r="F271" s="163"/>
    </row>
    <row r="272" spans="1:6" s="55" customFormat="1">
      <c r="A272" s="17"/>
      <c r="B272" s="24"/>
      <c r="C272" s="29"/>
      <c r="D272" s="40"/>
      <c r="E272" s="162"/>
      <c r="F272" s="163"/>
    </row>
    <row r="273" spans="1:6" s="55" customFormat="1">
      <c r="A273" s="17"/>
      <c r="B273" s="24"/>
      <c r="C273" s="29"/>
      <c r="D273" s="40"/>
      <c r="E273" s="162"/>
      <c r="F273" s="163"/>
    </row>
    <row r="274" spans="1:6" s="55" customFormat="1">
      <c r="A274" s="17"/>
      <c r="B274" s="24"/>
      <c r="C274" s="29"/>
      <c r="D274" s="40"/>
      <c r="E274" s="162"/>
      <c r="F274" s="163"/>
    </row>
    <row r="275" spans="1:6" s="55" customFormat="1">
      <c r="A275" s="17"/>
      <c r="B275" s="24"/>
      <c r="C275" s="29"/>
      <c r="D275" s="40"/>
      <c r="E275" s="162"/>
      <c r="F275" s="163"/>
    </row>
    <row r="276" spans="1:6" s="55" customFormat="1">
      <c r="A276" s="17"/>
      <c r="B276" s="24"/>
      <c r="C276" s="29"/>
      <c r="D276" s="40"/>
      <c r="E276" s="162"/>
      <c r="F276" s="163"/>
    </row>
    <row r="277" spans="1:6" s="55" customFormat="1">
      <c r="A277" s="17"/>
      <c r="B277" s="24"/>
      <c r="C277" s="29"/>
      <c r="D277" s="40"/>
      <c r="E277" s="162"/>
      <c r="F277" s="163"/>
    </row>
    <row r="278" spans="1:6" s="55" customFormat="1">
      <c r="A278" s="17"/>
      <c r="B278" s="24"/>
      <c r="C278" s="29"/>
      <c r="D278" s="40"/>
      <c r="E278" s="162"/>
      <c r="F278" s="163"/>
    </row>
    <row r="279" spans="1:6" s="55" customFormat="1">
      <c r="A279" s="17"/>
      <c r="B279" s="24"/>
      <c r="C279" s="29"/>
      <c r="D279" s="40"/>
      <c r="E279" s="162"/>
      <c r="F279" s="163"/>
    </row>
    <row r="280" spans="1:6" s="55" customFormat="1">
      <c r="A280" s="17"/>
      <c r="B280" s="24"/>
      <c r="C280" s="29"/>
      <c r="D280" s="40"/>
      <c r="E280" s="162"/>
      <c r="F280" s="163"/>
    </row>
    <row r="281" spans="1:6" s="55" customFormat="1">
      <c r="A281" s="17"/>
      <c r="B281" s="24"/>
      <c r="C281" s="29"/>
      <c r="D281" s="40"/>
      <c r="E281" s="162"/>
      <c r="F281" s="163"/>
    </row>
    <row r="282" spans="1:6" s="55" customFormat="1">
      <c r="A282" s="17"/>
      <c r="B282" s="24"/>
      <c r="C282" s="29"/>
      <c r="D282" s="40"/>
      <c r="E282" s="162"/>
      <c r="F282" s="163"/>
    </row>
    <row r="283" spans="1:6" s="55" customFormat="1">
      <c r="A283" s="17"/>
      <c r="B283" s="24"/>
      <c r="C283" s="29"/>
      <c r="D283" s="40"/>
      <c r="E283" s="162"/>
      <c r="F283" s="163"/>
    </row>
    <row r="284" spans="1:6" s="55" customFormat="1">
      <c r="A284" s="17"/>
      <c r="B284" s="24"/>
      <c r="C284" s="29"/>
      <c r="D284" s="40"/>
      <c r="E284" s="162"/>
      <c r="F284" s="163"/>
    </row>
    <row r="285" spans="1:6" s="55" customFormat="1">
      <c r="A285" s="17"/>
      <c r="B285" s="24"/>
      <c r="C285" s="29"/>
      <c r="D285" s="40"/>
      <c r="E285" s="162"/>
      <c r="F285" s="163"/>
    </row>
    <row r="286" spans="1:6" s="55" customFormat="1">
      <c r="A286" s="17"/>
      <c r="B286" s="24"/>
      <c r="C286" s="29"/>
      <c r="D286" s="40"/>
      <c r="E286" s="162"/>
      <c r="F286" s="163"/>
    </row>
    <row r="287" spans="1:6" s="55" customFormat="1">
      <c r="A287" s="17"/>
      <c r="B287" s="24"/>
      <c r="C287" s="29"/>
      <c r="D287" s="40"/>
      <c r="E287" s="162"/>
      <c r="F287" s="163"/>
    </row>
    <row r="288" spans="1:6" s="55" customFormat="1">
      <c r="A288" s="17"/>
      <c r="B288" s="24"/>
      <c r="C288" s="29"/>
      <c r="D288" s="40"/>
      <c r="E288" s="162"/>
      <c r="F288" s="163"/>
    </row>
    <row r="289" spans="1:6" s="55" customFormat="1">
      <c r="A289" s="17"/>
      <c r="B289" s="24"/>
      <c r="C289" s="29"/>
      <c r="D289" s="40"/>
      <c r="E289" s="162"/>
      <c r="F289" s="163"/>
    </row>
    <row r="290" spans="1:6" s="55" customFormat="1">
      <c r="A290" s="17"/>
      <c r="B290" s="24"/>
      <c r="C290" s="29"/>
      <c r="D290" s="40"/>
      <c r="E290" s="162"/>
      <c r="F290" s="163"/>
    </row>
    <row r="291" spans="1:6" s="55" customFormat="1">
      <c r="A291" s="17"/>
      <c r="B291" s="24"/>
      <c r="C291" s="29"/>
      <c r="D291" s="40"/>
      <c r="E291" s="162"/>
      <c r="F291" s="163"/>
    </row>
    <row r="292" spans="1:6" s="55" customFormat="1">
      <c r="A292" s="17"/>
      <c r="B292" s="24"/>
      <c r="C292" s="29"/>
      <c r="D292" s="40"/>
      <c r="E292" s="162"/>
      <c r="F292" s="163"/>
    </row>
    <row r="293" spans="1:6" s="55" customFormat="1">
      <c r="A293" s="17"/>
      <c r="B293" s="24"/>
      <c r="C293" s="29"/>
      <c r="D293" s="40"/>
      <c r="E293" s="162"/>
      <c r="F293" s="163"/>
    </row>
    <row r="294" spans="1:6" s="55" customFormat="1">
      <c r="A294" s="17"/>
      <c r="B294" s="24"/>
      <c r="C294" s="29"/>
      <c r="D294" s="40"/>
      <c r="E294" s="162"/>
      <c r="F294" s="163"/>
    </row>
    <row r="295" spans="1:6" s="55" customFormat="1">
      <c r="A295" s="17"/>
      <c r="B295" s="24"/>
      <c r="C295" s="29"/>
      <c r="D295" s="40"/>
      <c r="E295" s="162"/>
      <c r="F295" s="163"/>
    </row>
    <row r="296" spans="1:6" s="55" customFormat="1">
      <c r="A296" s="17"/>
      <c r="B296" s="24"/>
      <c r="C296" s="29"/>
      <c r="D296" s="40"/>
      <c r="E296" s="162"/>
      <c r="F296" s="163"/>
    </row>
    <row r="297" spans="1:6" s="55" customFormat="1">
      <c r="A297" s="17"/>
      <c r="B297" s="24"/>
      <c r="C297" s="29"/>
      <c r="D297" s="40"/>
      <c r="E297" s="162"/>
      <c r="F297" s="163"/>
    </row>
    <row r="298" spans="1:6" s="55" customFormat="1">
      <c r="A298" s="17"/>
      <c r="B298" s="24"/>
      <c r="C298" s="29"/>
      <c r="D298" s="40"/>
      <c r="E298" s="162"/>
      <c r="F298" s="163"/>
    </row>
    <row r="299" spans="1:6" s="55" customFormat="1">
      <c r="A299" s="17"/>
      <c r="B299" s="24"/>
      <c r="C299" s="29"/>
      <c r="D299" s="40"/>
      <c r="E299" s="162"/>
      <c r="F299" s="163"/>
    </row>
    <row r="300" spans="1:6" s="55" customFormat="1">
      <c r="A300" s="17"/>
      <c r="B300" s="24"/>
      <c r="C300" s="29"/>
      <c r="D300" s="40"/>
      <c r="E300" s="162"/>
      <c r="F300" s="163"/>
    </row>
    <row r="301" spans="1:6" s="55" customFormat="1">
      <c r="A301" s="17"/>
      <c r="B301" s="24"/>
      <c r="C301" s="29"/>
      <c r="D301" s="40"/>
      <c r="E301" s="162"/>
      <c r="F301" s="163"/>
    </row>
    <row r="302" spans="1:6" s="55" customFormat="1">
      <c r="A302" s="17"/>
      <c r="B302" s="24"/>
      <c r="C302" s="29"/>
      <c r="D302" s="40"/>
      <c r="E302" s="162"/>
      <c r="F302" s="163"/>
    </row>
    <row r="303" spans="1:6" s="55" customFormat="1">
      <c r="A303" s="17"/>
      <c r="B303" s="24"/>
      <c r="C303" s="29"/>
      <c r="D303" s="40"/>
      <c r="E303" s="162"/>
      <c r="F303" s="163"/>
    </row>
    <row r="304" spans="1:6" s="55" customFormat="1">
      <c r="A304" s="17"/>
      <c r="B304" s="24"/>
      <c r="C304" s="29"/>
      <c r="D304" s="40"/>
      <c r="E304" s="162"/>
      <c r="F304" s="163"/>
    </row>
    <row r="305" spans="1:6" s="55" customFormat="1">
      <c r="A305" s="17"/>
      <c r="B305" s="24"/>
      <c r="C305" s="29"/>
      <c r="D305" s="40"/>
      <c r="E305" s="162"/>
      <c r="F305" s="163"/>
    </row>
    <row r="306" spans="1:6" s="55" customFormat="1">
      <c r="A306" s="17"/>
      <c r="B306" s="24"/>
      <c r="C306" s="29"/>
      <c r="D306" s="40"/>
      <c r="E306" s="162"/>
      <c r="F306" s="163"/>
    </row>
    <row r="307" spans="1:6" s="55" customFormat="1">
      <c r="A307" s="17"/>
      <c r="B307" s="24"/>
      <c r="C307" s="29"/>
      <c r="D307" s="40"/>
      <c r="E307" s="162"/>
      <c r="F307" s="163"/>
    </row>
    <row r="308" spans="1:6" s="55" customFormat="1">
      <c r="A308" s="17"/>
      <c r="B308" s="24"/>
      <c r="C308" s="29"/>
      <c r="D308" s="40"/>
      <c r="E308" s="162"/>
      <c r="F308" s="163"/>
    </row>
    <row r="309" spans="1:6" s="55" customFormat="1">
      <c r="A309" s="17"/>
      <c r="B309" s="24"/>
      <c r="C309" s="29"/>
      <c r="D309" s="40"/>
      <c r="E309" s="162"/>
      <c r="F309" s="163"/>
    </row>
    <row r="310" spans="1:6" s="55" customFormat="1">
      <c r="A310" s="17"/>
      <c r="B310" s="24"/>
      <c r="C310" s="29"/>
      <c r="D310" s="40"/>
      <c r="E310" s="162"/>
      <c r="F310" s="163"/>
    </row>
    <row r="311" spans="1:6" s="55" customFormat="1">
      <c r="A311" s="17"/>
      <c r="B311" s="24"/>
      <c r="C311" s="29"/>
      <c r="D311" s="40"/>
      <c r="E311" s="162"/>
      <c r="F311" s="163"/>
    </row>
    <row r="312" spans="1:6" s="55" customFormat="1">
      <c r="A312" s="17"/>
      <c r="B312" s="24"/>
      <c r="C312" s="29"/>
      <c r="D312" s="40"/>
      <c r="E312" s="162"/>
      <c r="F312" s="163"/>
    </row>
    <row r="313" spans="1:6" s="55" customFormat="1">
      <c r="A313" s="17"/>
      <c r="B313" s="24"/>
      <c r="C313" s="29"/>
      <c r="D313" s="40"/>
      <c r="E313" s="162"/>
      <c r="F313" s="163"/>
    </row>
    <row r="314" spans="1:6" s="55" customFormat="1">
      <c r="A314" s="17"/>
      <c r="B314" s="24"/>
      <c r="C314" s="29"/>
      <c r="D314" s="40"/>
      <c r="E314" s="162"/>
      <c r="F314" s="163"/>
    </row>
    <row r="315" spans="1:6" s="55" customFormat="1">
      <c r="A315" s="17"/>
      <c r="B315" s="24"/>
      <c r="C315" s="29"/>
      <c r="D315" s="40"/>
      <c r="E315" s="162"/>
      <c r="F315" s="163"/>
    </row>
    <row r="316" spans="1:6" s="55" customFormat="1">
      <c r="A316" s="17"/>
      <c r="B316" s="24"/>
      <c r="C316" s="29"/>
      <c r="D316" s="40"/>
      <c r="E316" s="162"/>
      <c r="F316" s="163"/>
    </row>
    <row r="317" spans="1:6" s="55" customFormat="1">
      <c r="A317" s="17"/>
      <c r="B317" s="24"/>
      <c r="C317" s="29"/>
      <c r="D317" s="40"/>
      <c r="E317" s="162"/>
      <c r="F317" s="163"/>
    </row>
    <row r="318" spans="1:6" s="55" customFormat="1">
      <c r="A318" s="17"/>
      <c r="B318" s="24"/>
      <c r="C318" s="29"/>
      <c r="D318" s="40"/>
      <c r="E318" s="162"/>
      <c r="F318" s="163"/>
    </row>
    <row r="319" spans="1:6" s="55" customFormat="1">
      <c r="A319" s="17"/>
      <c r="B319" s="24"/>
      <c r="C319" s="29"/>
      <c r="D319" s="40"/>
      <c r="E319" s="162"/>
      <c r="F319" s="163"/>
    </row>
    <row r="320" spans="1:6" s="55" customFormat="1">
      <c r="A320" s="17"/>
      <c r="B320" s="24"/>
      <c r="C320" s="29"/>
      <c r="D320" s="40"/>
      <c r="E320" s="162"/>
      <c r="F320" s="163"/>
    </row>
    <row r="321" spans="1:6" s="55" customFormat="1">
      <c r="A321" s="17"/>
      <c r="B321" s="24"/>
      <c r="C321" s="29"/>
      <c r="D321" s="40"/>
      <c r="E321" s="162"/>
      <c r="F321" s="163"/>
    </row>
    <row r="322" spans="1:6" s="55" customFormat="1">
      <c r="A322" s="17"/>
      <c r="B322" s="24"/>
      <c r="C322" s="29"/>
      <c r="D322" s="40"/>
      <c r="E322" s="162"/>
      <c r="F322" s="163"/>
    </row>
    <row r="323" spans="1:6" s="55" customFormat="1">
      <c r="A323" s="17"/>
      <c r="B323" s="24"/>
      <c r="C323" s="29"/>
      <c r="D323" s="40"/>
      <c r="E323" s="162"/>
      <c r="F323" s="163"/>
    </row>
    <row r="324" spans="1:6" s="55" customFormat="1">
      <c r="A324" s="17"/>
      <c r="B324" s="24"/>
      <c r="C324" s="29"/>
      <c r="D324" s="40"/>
      <c r="E324" s="162"/>
      <c r="F324" s="163"/>
    </row>
    <row r="325" spans="1:6" s="55" customFormat="1">
      <c r="A325" s="17"/>
      <c r="B325" s="24"/>
      <c r="C325" s="29"/>
      <c r="D325" s="40"/>
      <c r="E325" s="162"/>
      <c r="F325" s="163"/>
    </row>
    <row r="326" spans="1:6" s="55" customFormat="1">
      <c r="A326" s="17"/>
      <c r="B326" s="24"/>
      <c r="C326" s="29"/>
      <c r="D326" s="40"/>
      <c r="E326" s="162"/>
      <c r="F326" s="163"/>
    </row>
    <row r="327" spans="1:6" s="55" customFormat="1">
      <c r="A327" s="17"/>
      <c r="B327" s="24"/>
      <c r="C327" s="29"/>
      <c r="D327" s="40"/>
      <c r="E327" s="162"/>
      <c r="F327" s="163"/>
    </row>
    <row r="328" spans="1:6" s="55" customFormat="1">
      <c r="A328" s="17"/>
      <c r="B328" s="24"/>
      <c r="C328" s="29"/>
      <c r="D328" s="40"/>
      <c r="E328" s="162"/>
      <c r="F328" s="163"/>
    </row>
    <row r="329" spans="1:6" s="55" customFormat="1">
      <c r="A329" s="17"/>
      <c r="B329" s="24"/>
      <c r="C329" s="29"/>
      <c r="D329" s="40"/>
      <c r="E329" s="162"/>
      <c r="F329" s="163"/>
    </row>
    <row r="330" spans="1:6" s="55" customFormat="1">
      <c r="A330" s="17"/>
      <c r="B330" s="24"/>
      <c r="C330" s="29"/>
      <c r="D330" s="40"/>
      <c r="E330" s="162"/>
      <c r="F330" s="163"/>
    </row>
    <row r="331" spans="1:6" s="55" customFormat="1">
      <c r="A331" s="17"/>
      <c r="B331" s="24"/>
      <c r="C331" s="29"/>
      <c r="D331" s="40"/>
      <c r="E331" s="162"/>
      <c r="F331" s="163"/>
    </row>
    <row r="332" spans="1:6" s="55" customFormat="1">
      <c r="A332" s="17"/>
      <c r="B332" s="24"/>
      <c r="C332" s="29"/>
      <c r="D332" s="40"/>
      <c r="E332" s="162"/>
      <c r="F332" s="163"/>
    </row>
    <row r="333" spans="1:6" s="55" customFormat="1">
      <c r="A333" s="17"/>
      <c r="B333" s="24"/>
      <c r="C333" s="29"/>
      <c r="D333" s="40"/>
      <c r="E333" s="162"/>
      <c r="F333" s="163"/>
    </row>
    <row r="334" spans="1:6" s="55" customFormat="1">
      <c r="A334" s="17"/>
      <c r="B334" s="24"/>
      <c r="C334" s="29"/>
      <c r="D334" s="40"/>
      <c r="E334" s="162"/>
      <c r="F334" s="163"/>
    </row>
    <row r="335" spans="1:6" s="55" customFormat="1">
      <c r="A335" s="17"/>
      <c r="B335" s="24"/>
      <c r="C335" s="29"/>
      <c r="D335" s="40"/>
      <c r="E335" s="162"/>
      <c r="F335" s="163"/>
    </row>
    <row r="336" spans="1:6" s="55" customFormat="1">
      <c r="A336" s="17"/>
      <c r="B336" s="24"/>
      <c r="C336" s="29"/>
      <c r="D336" s="40"/>
      <c r="E336" s="162"/>
      <c r="F336" s="163"/>
    </row>
    <row r="337" spans="1:6" s="55" customFormat="1">
      <c r="A337" s="17"/>
      <c r="B337" s="24"/>
      <c r="C337" s="29"/>
      <c r="D337" s="40"/>
      <c r="E337" s="162"/>
      <c r="F337" s="163"/>
    </row>
    <row r="338" spans="1:6" s="55" customFormat="1">
      <c r="A338" s="17"/>
      <c r="B338" s="24"/>
      <c r="C338" s="29"/>
      <c r="D338" s="40"/>
      <c r="E338" s="162"/>
      <c r="F338" s="163"/>
    </row>
    <row r="339" spans="1:6" s="55" customFormat="1">
      <c r="A339" s="17"/>
      <c r="B339" s="24"/>
      <c r="C339" s="29"/>
      <c r="D339" s="40"/>
      <c r="E339" s="162"/>
      <c r="F339" s="163"/>
    </row>
    <row r="340" spans="1:6" s="55" customFormat="1">
      <c r="A340" s="17"/>
      <c r="B340" s="24"/>
      <c r="C340" s="29"/>
      <c r="D340" s="40"/>
      <c r="E340" s="162"/>
      <c r="F340" s="163"/>
    </row>
    <row r="341" spans="1:6" s="55" customFormat="1">
      <c r="A341" s="17"/>
      <c r="B341" s="24"/>
      <c r="C341" s="29"/>
      <c r="D341" s="40"/>
      <c r="E341" s="162"/>
      <c r="F341" s="163"/>
    </row>
    <row r="342" spans="1:6" s="55" customFormat="1">
      <c r="A342" s="17"/>
      <c r="B342" s="24"/>
      <c r="C342" s="29"/>
      <c r="D342" s="40"/>
      <c r="E342" s="162"/>
      <c r="F342" s="163"/>
    </row>
    <row r="343" spans="1:6" s="55" customFormat="1">
      <c r="A343" s="17"/>
      <c r="B343" s="24"/>
      <c r="C343" s="29"/>
      <c r="D343" s="40"/>
      <c r="E343" s="162"/>
      <c r="F343" s="163"/>
    </row>
    <row r="344" spans="1:6" s="55" customFormat="1">
      <c r="A344" s="17"/>
      <c r="B344" s="24"/>
      <c r="C344" s="29"/>
      <c r="D344" s="40"/>
      <c r="E344" s="162"/>
      <c r="F344" s="163"/>
    </row>
    <row r="345" spans="1:6" s="55" customFormat="1">
      <c r="A345" s="17"/>
      <c r="B345" s="24"/>
      <c r="C345" s="29"/>
      <c r="D345" s="40"/>
      <c r="E345" s="162"/>
      <c r="F345" s="163"/>
    </row>
    <row r="346" spans="1:6" s="55" customFormat="1">
      <c r="A346" s="17"/>
      <c r="B346" s="24"/>
      <c r="C346" s="29"/>
      <c r="D346" s="40"/>
      <c r="E346" s="162"/>
      <c r="F346" s="163"/>
    </row>
    <row r="347" spans="1:6" s="55" customFormat="1">
      <c r="A347" s="17"/>
      <c r="B347" s="24"/>
      <c r="C347" s="29"/>
      <c r="D347" s="40"/>
      <c r="E347" s="162"/>
      <c r="F347" s="163"/>
    </row>
    <row r="348" spans="1:6" s="55" customFormat="1">
      <c r="A348" s="17"/>
      <c r="B348" s="24"/>
      <c r="C348" s="29"/>
      <c r="D348" s="40"/>
      <c r="E348" s="162"/>
      <c r="F348" s="163"/>
    </row>
    <row r="349" spans="1:6" s="55" customFormat="1">
      <c r="A349" s="17"/>
      <c r="B349" s="24"/>
      <c r="C349" s="29"/>
      <c r="D349" s="40"/>
      <c r="E349" s="162"/>
      <c r="F349" s="163"/>
    </row>
    <row r="350" spans="1:6" s="55" customFormat="1">
      <c r="A350" s="17"/>
      <c r="B350" s="24"/>
      <c r="C350" s="29"/>
      <c r="D350" s="40"/>
      <c r="E350" s="162"/>
      <c r="F350" s="163"/>
    </row>
    <row r="351" spans="1:6" s="55" customFormat="1">
      <c r="A351" s="17"/>
      <c r="B351" s="24"/>
      <c r="C351" s="29"/>
      <c r="D351" s="40"/>
      <c r="E351" s="162"/>
      <c r="F351" s="163"/>
    </row>
    <row r="352" spans="1:6" s="55" customFormat="1">
      <c r="A352" s="17"/>
      <c r="B352" s="24"/>
      <c r="C352" s="29"/>
      <c r="D352" s="40"/>
      <c r="E352" s="162"/>
      <c r="F352" s="163"/>
    </row>
    <row r="353" spans="1:6" s="55" customFormat="1">
      <c r="A353" s="17"/>
      <c r="B353" s="24"/>
      <c r="C353" s="29"/>
      <c r="D353" s="40"/>
      <c r="E353" s="162"/>
      <c r="F353" s="163"/>
    </row>
    <row r="354" spans="1:6" s="55" customFormat="1">
      <c r="A354" s="17"/>
      <c r="B354" s="24"/>
      <c r="C354" s="29"/>
      <c r="D354" s="40"/>
      <c r="E354" s="162"/>
      <c r="F354" s="163"/>
    </row>
    <row r="355" spans="1:6" s="55" customFormat="1">
      <c r="A355" s="17"/>
      <c r="B355" s="24"/>
      <c r="C355" s="29"/>
      <c r="D355" s="40"/>
      <c r="E355" s="162"/>
      <c r="F355" s="163"/>
    </row>
    <row r="356" spans="1:6" s="55" customFormat="1">
      <c r="A356" s="17"/>
      <c r="B356" s="24"/>
      <c r="C356" s="29"/>
      <c r="D356" s="40"/>
      <c r="E356" s="162"/>
      <c r="F356" s="163"/>
    </row>
    <row r="357" spans="1:6" s="55" customFormat="1">
      <c r="A357" s="17"/>
      <c r="B357" s="24"/>
      <c r="C357" s="29"/>
      <c r="D357" s="40"/>
      <c r="E357" s="162"/>
      <c r="F357" s="163"/>
    </row>
    <row r="358" spans="1:6" s="55" customFormat="1">
      <c r="A358" s="17"/>
      <c r="B358" s="24"/>
      <c r="C358" s="29"/>
      <c r="D358" s="40"/>
      <c r="E358" s="162"/>
      <c r="F358" s="163"/>
    </row>
    <row r="359" spans="1:6" s="55" customFormat="1">
      <c r="A359" s="17"/>
      <c r="B359" s="24"/>
      <c r="C359" s="29"/>
      <c r="D359" s="40"/>
      <c r="E359" s="162"/>
      <c r="F359" s="163"/>
    </row>
    <row r="360" spans="1:6" s="55" customFormat="1">
      <c r="A360" s="17"/>
      <c r="B360" s="24"/>
      <c r="C360" s="29"/>
      <c r="D360" s="40"/>
      <c r="E360" s="162"/>
      <c r="F360" s="163"/>
    </row>
    <row r="361" spans="1:6" s="55" customFormat="1">
      <c r="A361" s="17"/>
      <c r="B361" s="24"/>
      <c r="C361" s="29"/>
      <c r="D361" s="40"/>
      <c r="E361" s="162"/>
      <c r="F361" s="163"/>
    </row>
    <row r="362" spans="1:6" s="55" customFormat="1" ht="307.5" customHeight="1">
      <c r="A362" s="17"/>
      <c r="B362" s="24"/>
      <c r="C362" s="29"/>
      <c r="D362" s="40"/>
      <c r="E362" s="162"/>
      <c r="F362" s="163"/>
    </row>
    <row r="363" spans="1:6" s="55" customFormat="1" ht="36.75" customHeight="1">
      <c r="A363" s="17"/>
      <c r="B363" s="1"/>
      <c r="C363" s="29"/>
      <c r="D363" s="40"/>
      <c r="E363" s="162"/>
      <c r="F363" s="163"/>
    </row>
    <row r="364" spans="1:6" s="55" customFormat="1" ht="37.5" customHeight="1">
      <c r="A364" s="17"/>
      <c r="B364" s="1"/>
      <c r="C364" s="29"/>
      <c r="D364" s="40"/>
      <c r="E364" s="162"/>
      <c r="F364" s="163"/>
    </row>
    <row r="365" spans="1:6" s="55" customFormat="1" ht="37.5" customHeight="1">
      <c r="A365" s="17"/>
      <c r="B365" s="1"/>
      <c r="C365" s="29"/>
      <c r="D365" s="40"/>
      <c r="E365" s="162"/>
      <c r="F365" s="163"/>
    </row>
    <row r="366" spans="1:6" s="55" customFormat="1" ht="34.5" customHeight="1">
      <c r="A366" s="17"/>
      <c r="B366" s="1"/>
      <c r="C366" s="29"/>
      <c r="D366" s="40"/>
      <c r="E366" s="162"/>
      <c r="F366" s="163"/>
    </row>
    <row r="367" spans="1:6" s="55" customFormat="1" ht="36" customHeight="1">
      <c r="A367" s="17"/>
      <c r="B367" s="1"/>
      <c r="C367" s="29"/>
      <c r="D367" s="40"/>
      <c r="E367" s="162"/>
      <c r="F367" s="163"/>
    </row>
    <row r="368" spans="1:6" s="55" customFormat="1" ht="30.75" customHeight="1">
      <c r="A368" s="17"/>
      <c r="B368" s="1"/>
      <c r="C368" s="29"/>
      <c r="D368" s="40"/>
      <c r="E368" s="162"/>
      <c r="F368" s="163"/>
    </row>
    <row r="369" spans="1:6" s="55" customFormat="1" ht="42" customHeight="1">
      <c r="A369" s="17"/>
      <c r="B369" s="1"/>
      <c r="C369" s="29"/>
      <c r="D369" s="40"/>
      <c r="E369" s="162"/>
      <c r="F369" s="163"/>
    </row>
    <row r="370" spans="1:6" s="55" customFormat="1">
      <c r="A370" s="17"/>
      <c r="B370" s="1"/>
      <c r="C370" s="29"/>
      <c r="D370" s="40"/>
      <c r="E370" s="162"/>
      <c r="F370" s="163"/>
    </row>
    <row r="371" spans="1:6" s="55" customFormat="1">
      <c r="A371" s="17"/>
      <c r="B371" s="1"/>
      <c r="C371" s="29"/>
      <c r="D371" s="40"/>
      <c r="E371" s="162"/>
      <c r="F371" s="163"/>
    </row>
    <row r="372" spans="1:6" s="55" customFormat="1">
      <c r="A372" s="17"/>
      <c r="B372" s="1"/>
      <c r="C372" s="29"/>
      <c r="D372" s="40"/>
      <c r="E372" s="162"/>
      <c r="F372" s="163"/>
    </row>
    <row r="373" spans="1:6" s="55" customFormat="1">
      <c r="A373" s="17"/>
      <c r="B373" s="1"/>
      <c r="C373" s="29"/>
      <c r="D373" s="40"/>
      <c r="E373" s="162"/>
      <c r="F373" s="163"/>
    </row>
    <row r="374" spans="1:6" s="55" customFormat="1">
      <c r="A374" s="17"/>
      <c r="B374" s="1"/>
      <c r="C374" s="29"/>
      <c r="D374" s="40"/>
      <c r="E374" s="162"/>
      <c r="F374" s="163"/>
    </row>
    <row r="375" spans="1:6" s="55" customFormat="1">
      <c r="A375" s="17"/>
      <c r="B375" s="1"/>
      <c r="C375" s="29"/>
      <c r="D375" s="40"/>
      <c r="E375" s="162"/>
      <c r="F375" s="163"/>
    </row>
    <row r="376" spans="1:6" s="55" customFormat="1">
      <c r="A376" s="17"/>
      <c r="B376" s="1"/>
      <c r="C376" s="29"/>
      <c r="D376" s="40"/>
      <c r="E376" s="162"/>
      <c r="F376" s="163"/>
    </row>
    <row r="377" spans="1:6" s="55" customFormat="1">
      <c r="A377" s="17"/>
      <c r="B377" s="1"/>
      <c r="C377" s="29"/>
      <c r="D377" s="40"/>
      <c r="E377" s="162"/>
      <c r="F377" s="163"/>
    </row>
    <row r="378" spans="1:6" s="55" customFormat="1">
      <c r="A378" s="17"/>
      <c r="B378" s="1"/>
      <c r="C378" s="29"/>
      <c r="D378" s="40"/>
      <c r="E378" s="162"/>
      <c r="F378" s="163"/>
    </row>
    <row r="379" spans="1:6" s="55" customFormat="1">
      <c r="A379" s="17"/>
      <c r="B379" s="1"/>
      <c r="C379" s="29"/>
      <c r="D379" s="40"/>
      <c r="E379" s="162"/>
      <c r="F379" s="163"/>
    </row>
    <row r="380" spans="1:6" s="55" customFormat="1">
      <c r="A380" s="17"/>
      <c r="B380" s="1"/>
      <c r="C380" s="29"/>
      <c r="D380" s="40"/>
      <c r="E380" s="162"/>
      <c r="F380" s="163"/>
    </row>
    <row r="381" spans="1:6" s="55" customFormat="1">
      <c r="A381" s="17"/>
      <c r="B381" s="1"/>
      <c r="C381" s="29"/>
      <c r="D381" s="40"/>
      <c r="E381" s="162"/>
      <c r="F381" s="163"/>
    </row>
    <row r="382" spans="1:6" s="55" customFormat="1">
      <c r="A382" s="17"/>
      <c r="B382" s="1"/>
      <c r="C382" s="29"/>
      <c r="D382" s="40"/>
      <c r="E382" s="162"/>
      <c r="F382" s="163"/>
    </row>
    <row r="383" spans="1:6" s="55" customFormat="1">
      <c r="A383" s="17"/>
      <c r="B383" s="1"/>
      <c r="C383" s="29"/>
      <c r="D383" s="40"/>
      <c r="E383" s="162"/>
      <c r="F383" s="163"/>
    </row>
    <row r="384" spans="1:6" s="55" customFormat="1">
      <c r="A384" s="17"/>
      <c r="B384" s="1"/>
      <c r="C384" s="29"/>
      <c r="D384" s="40"/>
      <c r="E384" s="162"/>
      <c r="F384" s="163"/>
    </row>
    <row r="385" spans="1:6" s="55" customFormat="1">
      <c r="A385" s="17"/>
      <c r="B385" s="1"/>
      <c r="C385" s="29"/>
      <c r="D385" s="40"/>
      <c r="E385" s="162"/>
      <c r="F385" s="163"/>
    </row>
    <row r="386" spans="1:6" s="55" customFormat="1">
      <c r="A386" s="17"/>
      <c r="B386" s="1"/>
      <c r="C386" s="29"/>
      <c r="D386" s="40"/>
      <c r="E386" s="162"/>
      <c r="F386" s="163"/>
    </row>
    <row r="387" spans="1:6" s="55" customFormat="1">
      <c r="A387" s="17"/>
      <c r="B387" s="1"/>
      <c r="C387" s="29"/>
      <c r="D387" s="40"/>
      <c r="E387" s="162"/>
      <c r="F387" s="163"/>
    </row>
    <row r="388" spans="1:6" s="55" customFormat="1">
      <c r="A388" s="17"/>
      <c r="B388" s="1"/>
      <c r="C388" s="29"/>
      <c r="D388" s="40"/>
      <c r="E388" s="162"/>
      <c r="F388" s="163"/>
    </row>
    <row r="389" spans="1:6" s="55" customFormat="1">
      <c r="A389" s="17"/>
      <c r="B389" s="1"/>
      <c r="C389" s="29"/>
      <c r="D389" s="40"/>
      <c r="E389" s="162"/>
      <c r="F389" s="163"/>
    </row>
    <row r="390" spans="1:6" s="55" customFormat="1">
      <c r="A390" s="17"/>
      <c r="B390" s="1"/>
      <c r="C390" s="29"/>
      <c r="D390" s="40"/>
      <c r="E390" s="162"/>
      <c r="F390" s="163"/>
    </row>
    <row r="391" spans="1:6" s="55" customFormat="1">
      <c r="A391" s="17"/>
      <c r="B391" s="1"/>
      <c r="C391" s="29"/>
      <c r="D391" s="40"/>
      <c r="E391" s="162"/>
      <c r="F391" s="163"/>
    </row>
    <row r="392" spans="1:6" s="55" customFormat="1">
      <c r="A392" s="17"/>
      <c r="B392" s="1"/>
      <c r="C392" s="29"/>
      <c r="D392" s="40"/>
      <c r="E392" s="162"/>
      <c r="F392" s="163"/>
    </row>
    <row r="393" spans="1:6" s="55" customFormat="1">
      <c r="A393" s="17"/>
      <c r="B393" s="1"/>
      <c r="C393" s="29"/>
      <c r="D393" s="40"/>
      <c r="E393" s="162"/>
      <c r="F393" s="163"/>
    </row>
    <row r="394" spans="1:6" s="55" customFormat="1">
      <c r="A394" s="17"/>
      <c r="B394" s="1"/>
      <c r="C394" s="29"/>
      <c r="D394" s="40"/>
      <c r="E394" s="162"/>
      <c r="F394" s="163"/>
    </row>
    <row r="395" spans="1:6" s="55" customFormat="1">
      <c r="A395" s="17"/>
      <c r="B395" s="24"/>
      <c r="C395" s="29"/>
      <c r="D395" s="40"/>
      <c r="E395" s="162"/>
      <c r="F395" s="163"/>
    </row>
    <row r="396" spans="1:6" s="55" customFormat="1">
      <c r="A396" s="17"/>
      <c r="B396" s="24"/>
      <c r="C396" s="29"/>
      <c r="D396" s="40"/>
      <c r="E396" s="162"/>
      <c r="F396" s="163"/>
    </row>
    <row r="397" spans="1:6" s="55" customFormat="1">
      <c r="A397" s="17"/>
      <c r="B397" s="24"/>
      <c r="C397" s="29"/>
      <c r="D397" s="40"/>
      <c r="E397" s="162"/>
      <c r="F397" s="163"/>
    </row>
    <row r="398" spans="1:6" s="55" customFormat="1">
      <c r="A398" s="17"/>
      <c r="B398" s="24"/>
      <c r="C398" s="29"/>
      <c r="D398" s="40"/>
      <c r="E398" s="162"/>
      <c r="F398" s="163"/>
    </row>
    <row r="399" spans="1:6" s="55" customFormat="1">
      <c r="A399" s="17"/>
      <c r="B399" s="24"/>
      <c r="C399" s="29"/>
      <c r="D399" s="40"/>
      <c r="E399" s="162"/>
      <c r="F399" s="163"/>
    </row>
    <row r="400" spans="1:6" s="55" customFormat="1">
      <c r="A400" s="17"/>
      <c r="B400" s="24"/>
      <c r="C400" s="29"/>
      <c r="D400" s="40"/>
      <c r="E400" s="162"/>
      <c r="F400" s="163"/>
    </row>
    <row r="401" spans="1:6" s="55" customFormat="1">
      <c r="A401" s="17"/>
      <c r="B401" s="24"/>
      <c r="C401" s="29"/>
      <c r="D401" s="40"/>
      <c r="E401" s="162"/>
      <c r="F401" s="163"/>
    </row>
    <row r="402" spans="1:6" s="55" customFormat="1">
      <c r="A402" s="17"/>
      <c r="B402" s="24"/>
      <c r="C402" s="29"/>
      <c r="D402" s="40"/>
      <c r="E402" s="162"/>
      <c r="F402" s="163"/>
    </row>
    <row r="403" spans="1:6" s="55" customFormat="1">
      <c r="A403" s="17"/>
      <c r="B403" s="24"/>
      <c r="C403" s="29"/>
      <c r="D403" s="40"/>
      <c r="E403" s="162"/>
      <c r="F403" s="163"/>
    </row>
    <row r="404" spans="1:6" s="55" customFormat="1">
      <c r="A404" s="17"/>
      <c r="B404" s="24"/>
      <c r="C404" s="29"/>
      <c r="D404" s="40"/>
      <c r="E404" s="162"/>
      <c r="F404" s="163"/>
    </row>
    <row r="405" spans="1:6" s="55" customFormat="1">
      <c r="A405" s="17"/>
      <c r="B405" s="24"/>
      <c r="C405" s="29"/>
      <c r="D405" s="40"/>
      <c r="E405" s="162"/>
      <c r="F405" s="163"/>
    </row>
    <row r="406" spans="1:6" s="55" customFormat="1">
      <c r="A406" s="17"/>
      <c r="B406" s="24"/>
      <c r="C406" s="29"/>
      <c r="D406" s="40"/>
      <c r="E406" s="162"/>
      <c r="F406" s="163"/>
    </row>
    <row r="407" spans="1:6" s="55" customFormat="1">
      <c r="A407" s="17"/>
      <c r="B407" s="24"/>
      <c r="C407" s="29"/>
      <c r="D407" s="40"/>
      <c r="E407" s="162"/>
      <c r="F407" s="163"/>
    </row>
    <row r="408" spans="1:6" s="55" customFormat="1">
      <c r="A408" s="17"/>
      <c r="B408" s="24"/>
      <c r="C408" s="29"/>
      <c r="D408" s="40"/>
      <c r="E408" s="162"/>
      <c r="F408" s="163"/>
    </row>
    <row r="409" spans="1:6" s="55" customFormat="1">
      <c r="A409" s="17"/>
      <c r="B409" s="24"/>
      <c r="C409" s="29"/>
      <c r="D409" s="40"/>
      <c r="E409" s="162"/>
      <c r="F409" s="163"/>
    </row>
    <row r="410" spans="1:6" s="55" customFormat="1">
      <c r="A410" s="17"/>
      <c r="B410" s="24"/>
      <c r="C410" s="29"/>
      <c r="D410" s="40"/>
      <c r="E410" s="162"/>
      <c r="F410" s="163"/>
    </row>
    <row r="411" spans="1:6" s="55" customFormat="1">
      <c r="A411" s="17"/>
      <c r="B411" s="24"/>
      <c r="C411" s="29"/>
      <c r="D411" s="40"/>
      <c r="E411" s="162"/>
      <c r="F411" s="163"/>
    </row>
    <row r="412" spans="1:6" s="55" customFormat="1">
      <c r="A412" s="17"/>
      <c r="B412" s="24"/>
      <c r="C412" s="29"/>
      <c r="D412" s="40"/>
      <c r="E412" s="162"/>
      <c r="F412" s="163"/>
    </row>
    <row r="413" spans="1:6" s="55" customFormat="1">
      <c r="A413" s="17"/>
      <c r="B413" s="24"/>
      <c r="C413" s="29"/>
      <c r="D413" s="40"/>
      <c r="E413" s="162"/>
      <c r="F413" s="163"/>
    </row>
    <row r="414" spans="1:6" s="55" customFormat="1">
      <c r="A414" s="17"/>
      <c r="B414" s="24"/>
      <c r="C414" s="29"/>
      <c r="D414" s="40"/>
      <c r="E414" s="162"/>
      <c r="F414" s="163"/>
    </row>
    <row r="415" spans="1:6" s="55" customFormat="1">
      <c r="A415" s="17"/>
      <c r="B415" s="24"/>
      <c r="C415" s="29"/>
      <c r="D415" s="40"/>
      <c r="E415" s="162"/>
      <c r="F415" s="163"/>
    </row>
    <row r="416" spans="1:6" s="55" customFormat="1">
      <c r="A416" s="17"/>
      <c r="B416" s="24"/>
      <c r="C416" s="29"/>
      <c r="D416" s="40"/>
      <c r="E416" s="162"/>
      <c r="F416" s="163"/>
    </row>
    <row r="417" spans="1:6" s="55" customFormat="1">
      <c r="A417" s="17"/>
      <c r="B417" s="24"/>
      <c r="C417" s="29"/>
      <c r="D417" s="40"/>
      <c r="E417" s="162"/>
      <c r="F417" s="163"/>
    </row>
    <row r="418" spans="1:6" s="55" customFormat="1">
      <c r="A418" s="17"/>
      <c r="B418" s="24"/>
      <c r="C418" s="29"/>
      <c r="D418" s="40"/>
      <c r="E418" s="162"/>
      <c r="F418" s="163"/>
    </row>
    <row r="419" spans="1:6" s="55" customFormat="1">
      <c r="A419" s="17"/>
      <c r="B419" s="24"/>
      <c r="C419" s="29"/>
      <c r="D419" s="40"/>
      <c r="E419" s="162"/>
      <c r="F419" s="163"/>
    </row>
    <row r="420" spans="1:6" s="55" customFormat="1">
      <c r="A420" s="17"/>
      <c r="B420" s="24"/>
      <c r="C420" s="29"/>
      <c r="D420" s="40"/>
      <c r="E420" s="162"/>
      <c r="F420" s="163"/>
    </row>
    <row r="421" spans="1:6" s="55" customFormat="1">
      <c r="A421" s="17"/>
      <c r="B421" s="24"/>
      <c r="C421" s="29"/>
      <c r="D421" s="40"/>
      <c r="E421" s="162"/>
      <c r="F421" s="163"/>
    </row>
    <row r="422" spans="1:6" s="55" customFormat="1">
      <c r="A422" s="17"/>
      <c r="B422" s="24"/>
      <c r="C422" s="29"/>
      <c r="D422" s="40"/>
      <c r="E422" s="162"/>
      <c r="F422" s="163"/>
    </row>
    <row r="423" spans="1:6" s="55" customFormat="1">
      <c r="A423" s="17"/>
      <c r="B423" s="24"/>
      <c r="C423" s="29"/>
      <c r="D423" s="40"/>
      <c r="E423" s="162"/>
      <c r="F423" s="163"/>
    </row>
    <row r="424" spans="1:6" s="55" customFormat="1">
      <c r="A424" s="17"/>
      <c r="B424" s="24"/>
      <c r="C424" s="29"/>
      <c r="D424" s="40"/>
      <c r="E424" s="162"/>
      <c r="F424" s="163"/>
    </row>
    <row r="425" spans="1:6" s="55" customFormat="1">
      <c r="A425" s="17"/>
      <c r="B425" s="24"/>
      <c r="C425" s="29"/>
      <c r="D425" s="40"/>
      <c r="E425" s="162"/>
      <c r="F425" s="163"/>
    </row>
    <row r="426" spans="1:6" s="55" customFormat="1">
      <c r="A426" s="17"/>
      <c r="B426" s="24"/>
      <c r="C426" s="29"/>
      <c r="D426" s="40"/>
      <c r="E426" s="162"/>
      <c r="F426" s="163"/>
    </row>
    <row r="427" spans="1:6" s="55" customFormat="1">
      <c r="A427" s="17"/>
      <c r="B427" s="24"/>
      <c r="C427" s="29"/>
      <c r="D427" s="40"/>
      <c r="E427" s="162"/>
      <c r="F427" s="163"/>
    </row>
    <row r="428" spans="1:6" s="55" customFormat="1">
      <c r="A428" s="17"/>
      <c r="B428" s="24"/>
      <c r="C428" s="29"/>
      <c r="D428" s="40"/>
      <c r="E428" s="162"/>
      <c r="F428" s="163"/>
    </row>
    <row r="429" spans="1:6" s="55" customFormat="1">
      <c r="A429" s="17"/>
      <c r="B429" s="24"/>
      <c r="C429" s="29"/>
      <c r="D429" s="40"/>
      <c r="E429" s="162"/>
      <c r="F429" s="163"/>
    </row>
    <row r="430" spans="1:6" s="55" customFormat="1">
      <c r="A430" s="17"/>
      <c r="B430" s="24"/>
      <c r="C430" s="29"/>
      <c r="D430" s="40"/>
      <c r="E430" s="162"/>
      <c r="F430" s="163"/>
    </row>
    <row r="431" spans="1:6" s="55" customFormat="1">
      <c r="A431" s="17"/>
      <c r="B431" s="24"/>
      <c r="C431" s="29"/>
      <c r="D431" s="40"/>
      <c r="E431" s="162"/>
      <c r="F431" s="163"/>
    </row>
    <row r="432" spans="1:6" s="55" customFormat="1">
      <c r="A432" s="17"/>
      <c r="B432" s="24"/>
      <c r="C432" s="29"/>
      <c r="D432" s="40"/>
      <c r="E432" s="162"/>
      <c r="F432" s="163"/>
    </row>
    <row r="433" spans="1:6" s="55" customFormat="1">
      <c r="A433" s="17"/>
      <c r="B433" s="24"/>
      <c r="C433" s="29"/>
      <c r="D433" s="40"/>
      <c r="E433" s="162"/>
      <c r="F433" s="163"/>
    </row>
    <row r="434" spans="1:6" s="55" customFormat="1">
      <c r="A434" s="17"/>
      <c r="B434" s="24"/>
      <c r="C434" s="29"/>
      <c r="D434" s="40"/>
      <c r="E434" s="162"/>
      <c r="F434" s="163"/>
    </row>
    <row r="435" spans="1:6" s="55" customFormat="1">
      <c r="A435" s="17"/>
      <c r="B435" s="24"/>
      <c r="C435" s="29"/>
      <c r="D435" s="40"/>
      <c r="E435" s="162"/>
      <c r="F435" s="163"/>
    </row>
    <row r="436" spans="1:6" s="55" customFormat="1">
      <c r="A436" s="17"/>
      <c r="B436" s="24"/>
      <c r="C436" s="29"/>
      <c r="D436" s="40"/>
      <c r="E436" s="162"/>
      <c r="F436" s="163"/>
    </row>
    <row r="437" spans="1:6" s="55" customFormat="1">
      <c r="A437" s="17"/>
      <c r="B437" s="24"/>
      <c r="C437" s="29"/>
      <c r="D437" s="40"/>
      <c r="E437" s="162"/>
      <c r="F437" s="163"/>
    </row>
    <row r="438" spans="1:6" s="55" customFormat="1">
      <c r="A438" s="17"/>
      <c r="B438" s="24"/>
      <c r="C438" s="29"/>
      <c r="D438" s="40"/>
      <c r="E438" s="162"/>
      <c r="F438" s="163"/>
    </row>
    <row r="439" spans="1:6" s="55" customFormat="1">
      <c r="A439" s="17"/>
      <c r="B439" s="24"/>
      <c r="C439" s="29"/>
      <c r="D439" s="40"/>
      <c r="E439" s="162"/>
      <c r="F439" s="163"/>
    </row>
    <row r="440" spans="1:6" s="55" customFormat="1">
      <c r="A440" s="17"/>
      <c r="B440" s="24"/>
      <c r="C440" s="29"/>
      <c r="D440" s="40"/>
      <c r="E440" s="162"/>
      <c r="F440" s="163"/>
    </row>
    <row r="441" spans="1:6" s="55" customFormat="1">
      <c r="A441" s="17"/>
      <c r="B441" s="24"/>
      <c r="C441" s="29"/>
      <c r="D441" s="40"/>
      <c r="E441" s="162"/>
      <c r="F441" s="163"/>
    </row>
    <row r="442" spans="1:6" s="55" customFormat="1">
      <c r="A442" s="17"/>
      <c r="B442" s="24"/>
      <c r="C442" s="29"/>
      <c r="D442" s="40"/>
      <c r="E442" s="162"/>
      <c r="F442" s="163"/>
    </row>
    <row r="443" spans="1:6" s="55" customFormat="1">
      <c r="A443" s="17"/>
      <c r="B443" s="24"/>
      <c r="C443" s="29"/>
      <c r="D443" s="40"/>
      <c r="E443" s="162"/>
      <c r="F443" s="163"/>
    </row>
    <row r="444" spans="1:6" s="55" customFormat="1">
      <c r="A444" s="17"/>
      <c r="B444" s="24"/>
      <c r="C444" s="29"/>
      <c r="D444" s="40"/>
      <c r="E444" s="162"/>
      <c r="F444" s="163"/>
    </row>
    <row r="445" spans="1:6" s="55" customFormat="1">
      <c r="A445" s="17"/>
      <c r="B445" s="24"/>
      <c r="C445" s="29"/>
      <c r="D445" s="40"/>
      <c r="E445" s="162"/>
      <c r="F445" s="163"/>
    </row>
    <row r="446" spans="1:6" s="55" customFormat="1">
      <c r="A446" s="17"/>
      <c r="B446" s="24"/>
      <c r="C446" s="29"/>
      <c r="D446" s="40"/>
      <c r="E446" s="162"/>
      <c r="F446" s="163"/>
    </row>
    <row r="447" spans="1:6" s="55" customFormat="1">
      <c r="A447" s="17"/>
      <c r="B447" s="24"/>
      <c r="C447" s="29"/>
      <c r="D447" s="40"/>
      <c r="E447" s="162"/>
      <c r="F447" s="163"/>
    </row>
    <row r="448" spans="1:6" s="55" customFormat="1">
      <c r="A448" s="17"/>
      <c r="B448" s="24"/>
      <c r="C448" s="29"/>
      <c r="D448" s="40"/>
      <c r="E448" s="162"/>
      <c r="F448" s="163"/>
    </row>
    <row r="449" spans="1:6" s="55" customFormat="1">
      <c r="A449" s="17"/>
      <c r="B449" s="24"/>
      <c r="C449" s="29"/>
      <c r="D449" s="40"/>
      <c r="E449" s="162"/>
      <c r="F449" s="163"/>
    </row>
    <row r="450" spans="1:6" s="55" customFormat="1">
      <c r="A450" s="17"/>
      <c r="B450" s="24"/>
      <c r="C450" s="29"/>
      <c r="D450" s="40"/>
      <c r="E450" s="162"/>
      <c r="F450" s="163"/>
    </row>
    <row r="451" spans="1:6" s="55" customFormat="1">
      <c r="A451" s="17"/>
      <c r="B451" s="24"/>
      <c r="C451" s="29"/>
      <c r="D451" s="40"/>
      <c r="E451" s="162"/>
      <c r="F451" s="163"/>
    </row>
    <row r="452" spans="1:6" s="55" customFormat="1">
      <c r="A452" s="17"/>
      <c r="B452" s="24"/>
      <c r="C452" s="29"/>
      <c r="D452" s="40"/>
      <c r="E452" s="162"/>
      <c r="F452" s="163"/>
    </row>
    <row r="453" spans="1:6" s="55" customFormat="1">
      <c r="A453" s="17"/>
      <c r="B453" s="24"/>
      <c r="C453" s="29"/>
      <c r="D453" s="40"/>
      <c r="E453" s="162"/>
      <c r="F453" s="163"/>
    </row>
    <row r="454" spans="1:6" s="55" customFormat="1">
      <c r="A454" s="17"/>
      <c r="B454" s="24"/>
      <c r="C454" s="29"/>
      <c r="D454" s="40"/>
      <c r="E454" s="162"/>
      <c r="F454" s="163"/>
    </row>
    <row r="455" spans="1:6" s="55" customFormat="1">
      <c r="A455" s="17"/>
      <c r="B455" s="24"/>
      <c r="C455" s="29"/>
      <c r="D455" s="40"/>
      <c r="E455" s="162"/>
      <c r="F455" s="163"/>
    </row>
    <row r="456" spans="1:6" s="55" customFormat="1">
      <c r="A456" s="17"/>
      <c r="B456" s="24"/>
      <c r="C456" s="29"/>
      <c r="D456" s="40"/>
      <c r="E456" s="162"/>
      <c r="F456" s="163"/>
    </row>
    <row r="457" spans="1:6" s="55" customFormat="1">
      <c r="A457" s="17"/>
      <c r="B457" s="24"/>
      <c r="C457" s="29"/>
      <c r="D457" s="40"/>
      <c r="E457" s="162"/>
      <c r="F457" s="163"/>
    </row>
    <row r="458" spans="1:6" s="55" customFormat="1">
      <c r="A458" s="17"/>
      <c r="B458" s="24"/>
      <c r="C458" s="29"/>
      <c r="D458" s="40"/>
      <c r="E458" s="162"/>
      <c r="F458" s="163"/>
    </row>
    <row r="459" spans="1:6" s="55" customFormat="1">
      <c r="A459" s="17"/>
      <c r="B459" s="24"/>
      <c r="C459" s="29"/>
      <c r="D459" s="40"/>
      <c r="E459" s="162"/>
      <c r="F459" s="163"/>
    </row>
    <row r="460" spans="1:6" s="55" customFormat="1">
      <c r="A460" s="17"/>
      <c r="B460" s="24"/>
      <c r="C460" s="29"/>
      <c r="D460" s="40"/>
      <c r="E460" s="162"/>
      <c r="F460" s="163"/>
    </row>
    <row r="461" spans="1:6" s="55" customFormat="1">
      <c r="A461" s="17"/>
      <c r="B461" s="24"/>
      <c r="C461" s="29"/>
      <c r="D461" s="40"/>
      <c r="E461" s="162"/>
      <c r="F461" s="163"/>
    </row>
    <row r="462" spans="1:6" s="55" customFormat="1">
      <c r="A462" s="17"/>
      <c r="B462" s="24"/>
      <c r="C462" s="29"/>
      <c r="D462" s="40"/>
      <c r="E462" s="162"/>
      <c r="F462" s="163"/>
    </row>
    <row r="463" spans="1:6" s="55" customFormat="1">
      <c r="A463" s="17"/>
      <c r="B463" s="24"/>
      <c r="C463" s="29"/>
      <c r="D463" s="40"/>
      <c r="E463" s="162"/>
      <c r="F463" s="163"/>
    </row>
    <row r="464" spans="1:6" s="55" customFormat="1">
      <c r="A464" s="17"/>
      <c r="B464" s="24"/>
      <c r="C464" s="29"/>
      <c r="D464" s="40"/>
      <c r="E464" s="162"/>
      <c r="F464" s="163"/>
    </row>
    <row r="465" spans="1:6" s="55" customFormat="1">
      <c r="A465" s="17"/>
      <c r="B465" s="24"/>
      <c r="C465" s="29"/>
      <c r="D465" s="40"/>
      <c r="E465" s="162"/>
      <c r="F465" s="163"/>
    </row>
    <row r="466" spans="1:6" s="55" customFormat="1">
      <c r="A466" s="17"/>
      <c r="B466" s="24"/>
      <c r="C466" s="29"/>
      <c r="D466" s="40"/>
      <c r="E466" s="162"/>
      <c r="F466" s="163"/>
    </row>
    <row r="467" spans="1:6" s="55" customFormat="1">
      <c r="A467" s="17"/>
      <c r="B467" s="24"/>
      <c r="C467" s="29"/>
      <c r="D467" s="40"/>
      <c r="E467" s="162"/>
      <c r="F467" s="163"/>
    </row>
    <row r="468" spans="1:6" s="55" customFormat="1">
      <c r="A468" s="17"/>
      <c r="B468" s="24"/>
      <c r="C468" s="29"/>
      <c r="D468" s="40"/>
      <c r="E468" s="162"/>
      <c r="F468" s="163"/>
    </row>
    <row r="469" spans="1:6" s="55" customFormat="1">
      <c r="A469" s="17"/>
      <c r="B469" s="24"/>
      <c r="C469" s="29"/>
      <c r="D469" s="40"/>
      <c r="E469" s="162"/>
      <c r="F469" s="163"/>
    </row>
    <row r="470" spans="1:6" s="55" customFormat="1">
      <c r="A470" s="17"/>
      <c r="B470" s="24"/>
      <c r="C470" s="29"/>
      <c r="D470" s="40"/>
      <c r="E470" s="162"/>
      <c r="F470" s="163"/>
    </row>
    <row r="471" spans="1:6" s="55" customFormat="1">
      <c r="A471" s="17"/>
      <c r="B471" s="24"/>
      <c r="C471" s="29"/>
      <c r="D471" s="40"/>
      <c r="E471" s="162"/>
      <c r="F471" s="163"/>
    </row>
    <row r="472" spans="1:6" s="55" customFormat="1">
      <c r="A472" s="17"/>
      <c r="B472" s="24"/>
      <c r="C472" s="29"/>
      <c r="D472" s="40"/>
      <c r="E472" s="162"/>
      <c r="F472" s="163"/>
    </row>
    <row r="473" spans="1:6" s="55" customFormat="1">
      <c r="A473" s="17"/>
      <c r="B473" s="24"/>
      <c r="C473" s="29"/>
      <c r="D473" s="40"/>
      <c r="E473" s="162"/>
      <c r="F473" s="163"/>
    </row>
    <row r="474" spans="1:6" s="55" customFormat="1">
      <c r="A474" s="17"/>
      <c r="B474" s="24"/>
      <c r="C474" s="29"/>
      <c r="D474" s="40"/>
      <c r="E474" s="162"/>
      <c r="F474" s="163"/>
    </row>
    <row r="475" spans="1:6" s="55" customFormat="1">
      <c r="A475" s="17"/>
      <c r="B475" s="24"/>
      <c r="C475" s="29"/>
      <c r="D475" s="40"/>
      <c r="E475" s="162"/>
      <c r="F475" s="163"/>
    </row>
    <row r="476" spans="1:6" s="55" customFormat="1">
      <c r="A476" s="17"/>
      <c r="B476" s="24"/>
      <c r="C476" s="29"/>
      <c r="D476" s="40"/>
      <c r="E476" s="162"/>
      <c r="F476" s="163"/>
    </row>
    <row r="477" spans="1:6" s="55" customFormat="1">
      <c r="A477" s="17"/>
      <c r="B477" s="24"/>
      <c r="C477" s="29"/>
      <c r="D477" s="40"/>
      <c r="E477" s="162"/>
      <c r="F477" s="163"/>
    </row>
    <row r="478" spans="1:6" s="55" customFormat="1">
      <c r="A478" s="17"/>
      <c r="B478" s="24"/>
      <c r="C478" s="29"/>
      <c r="D478" s="40"/>
      <c r="E478" s="162"/>
      <c r="F478" s="163"/>
    </row>
    <row r="479" spans="1:6" s="55" customFormat="1">
      <c r="A479" s="17"/>
      <c r="B479" s="24"/>
      <c r="C479" s="29"/>
      <c r="D479" s="40"/>
      <c r="E479" s="162"/>
      <c r="F479" s="163"/>
    </row>
    <row r="480" spans="1:6" s="55" customFormat="1">
      <c r="A480" s="17"/>
      <c r="B480" s="24"/>
      <c r="C480" s="29"/>
      <c r="D480" s="40"/>
      <c r="E480" s="162"/>
      <c r="F480" s="163"/>
    </row>
    <row r="481" spans="1:6" s="55" customFormat="1">
      <c r="A481" s="17"/>
      <c r="B481" s="24"/>
      <c r="C481" s="29"/>
      <c r="D481" s="40"/>
      <c r="E481" s="162"/>
      <c r="F481" s="163"/>
    </row>
    <row r="482" spans="1:6" s="55" customFormat="1">
      <c r="A482" s="17"/>
      <c r="B482" s="24"/>
      <c r="C482" s="29"/>
      <c r="D482" s="40"/>
      <c r="E482" s="162"/>
      <c r="F482" s="163"/>
    </row>
    <row r="483" spans="1:6" s="55" customFormat="1">
      <c r="A483" s="17"/>
      <c r="B483" s="24"/>
      <c r="C483" s="29"/>
      <c r="D483" s="40"/>
      <c r="E483" s="162"/>
      <c r="F483" s="163"/>
    </row>
    <row r="484" spans="1:6" s="55" customFormat="1">
      <c r="A484" s="17"/>
      <c r="B484" s="24"/>
      <c r="C484" s="29"/>
      <c r="D484" s="40"/>
      <c r="E484" s="162"/>
      <c r="F484" s="163"/>
    </row>
    <row r="485" spans="1:6" s="55" customFormat="1">
      <c r="A485" s="17"/>
      <c r="B485" s="24"/>
      <c r="C485" s="29"/>
      <c r="D485" s="40"/>
      <c r="E485" s="162"/>
      <c r="F485" s="163"/>
    </row>
    <row r="486" spans="1:6" s="55" customFormat="1">
      <c r="A486" s="17"/>
      <c r="B486" s="24"/>
      <c r="C486" s="29"/>
      <c r="D486" s="40"/>
      <c r="E486" s="162"/>
      <c r="F486" s="163"/>
    </row>
    <row r="487" spans="1:6" s="55" customFormat="1">
      <c r="A487" s="17"/>
      <c r="B487" s="24"/>
      <c r="C487" s="29"/>
      <c r="D487" s="40"/>
      <c r="E487" s="162"/>
      <c r="F487" s="163"/>
    </row>
    <row r="488" spans="1:6" s="55" customFormat="1">
      <c r="A488" s="17"/>
      <c r="B488" s="24"/>
      <c r="C488" s="29"/>
      <c r="D488" s="40"/>
      <c r="E488" s="162"/>
      <c r="F488" s="163"/>
    </row>
    <row r="489" spans="1:6" s="55" customFormat="1">
      <c r="A489" s="17"/>
      <c r="B489" s="24"/>
      <c r="C489" s="29"/>
      <c r="D489" s="40"/>
      <c r="E489" s="162"/>
      <c r="F489" s="163"/>
    </row>
    <row r="490" spans="1:6" s="55" customFormat="1">
      <c r="A490" s="17"/>
      <c r="B490" s="24"/>
      <c r="C490" s="29"/>
      <c r="D490" s="40"/>
      <c r="E490" s="162"/>
      <c r="F490" s="163"/>
    </row>
    <row r="491" spans="1:6" s="55" customFormat="1">
      <c r="A491" s="17"/>
      <c r="B491" s="24"/>
      <c r="C491" s="29"/>
      <c r="D491" s="40"/>
      <c r="E491" s="162"/>
      <c r="F491" s="163"/>
    </row>
    <row r="492" spans="1:6" s="55" customFormat="1">
      <c r="A492" s="17"/>
      <c r="B492" s="24"/>
      <c r="C492" s="29"/>
      <c r="D492" s="40"/>
      <c r="E492" s="162"/>
      <c r="F492" s="163"/>
    </row>
    <row r="493" spans="1:6" s="55" customFormat="1">
      <c r="A493" s="17"/>
      <c r="B493" s="24"/>
      <c r="C493" s="29"/>
      <c r="D493" s="40"/>
      <c r="E493" s="162"/>
      <c r="F493" s="163"/>
    </row>
    <row r="494" spans="1:6" s="55" customFormat="1">
      <c r="A494" s="17"/>
      <c r="B494" s="24"/>
      <c r="C494" s="29"/>
      <c r="D494" s="40"/>
      <c r="E494" s="162"/>
      <c r="F494" s="163"/>
    </row>
    <row r="495" spans="1:6" s="55" customFormat="1">
      <c r="A495" s="17"/>
      <c r="B495" s="24"/>
      <c r="C495" s="29"/>
      <c r="D495" s="40"/>
      <c r="E495" s="162"/>
      <c r="F495" s="163"/>
    </row>
    <row r="496" spans="1:6" s="55" customFormat="1">
      <c r="A496" s="17"/>
      <c r="B496" s="24"/>
      <c r="C496" s="29"/>
      <c r="D496" s="40"/>
      <c r="E496" s="162"/>
      <c r="F496" s="163"/>
    </row>
    <row r="497" spans="1:6" s="55" customFormat="1">
      <c r="A497" s="17"/>
      <c r="B497" s="24"/>
      <c r="C497" s="29"/>
      <c r="D497" s="40"/>
      <c r="E497" s="162"/>
      <c r="F497" s="163"/>
    </row>
    <row r="498" spans="1:6" s="55" customFormat="1">
      <c r="A498" s="17"/>
      <c r="B498" s="24"/>
      <c r="C498" s="29"/>
      <c r="D498" s="40"/>
      <c r="E498" s="162"/>
      <c r="F498" s="163"/>
    </row>
    <row r="499" spans="1:6" s="55" customFormat="1">
      <c r="A499" s="17"/>
      <c r="B499" s="24"/>
      <c r="C499" s="29"/>
      <c r="D499" s="40"/>
      <c r="E499" s="162"/>
      <c r="F499" s="163"/>
    </row>
    <row r="500" spans="1:6" s="55" customFormat="1">
      <c r="A500" s="17"/>
      <c r="B500" s="24"/>
      <c r="C500" s="29"/>
      <c r="D500" s="40"/>
      <c r="E500" s="162"/>
      <c r="F500" s="163"/>
    </row>
    <row r="501" spans="1:6" s="55" customFormat="1">
      <c r="A501" s="17"/>
      <c r="B501" s="24"/>
      <c r="C501" s="29"/>
      <c r="D501" s="40"/>
      <c r="E501" s="162"/>
      <c r="F501" s="163"/>
    </row>
    <row r="502" spans="1:6" s="55" customFormat="1">
      <c r="A502" s="17"/>
      <c r="B502" s="24"/>
      <c r="C502" s="29"/>
      <c r="D502" s="40"/>
      <c r="E502" s="162"/>
      <c r="F502" s="163"/>
    </row>
    <row r="503" spans="1:6" s="55" customFormat="1">
      <c r="A503" s="17"/>
      <c r="B503" s="24"/>
      <c r="C503" s="29"/>
      <c r="D503" s="40"/>
      <c r="E503" s="162"/>
      <c r="F503" s="163"/>
    </row>
    <row r="504" spans="1:6" s="55" customFormat="1">
      <c r="A504" s="17"/>
      <c r="B504" s="24"/>
      <c r="C504" s="29"/>
      <c r="D504" s="40"/>
      <c r="E504" s="162"/>
      <c r="F504" s="163"/>
    </row>
    <row r="505" spans="1:6" s="55" customFormat="1">
      <c r="A505" s="17"/>
      <c r="B505" s="24"/>
      <c r="C505" s="29"/>
      <c r="D505" s="40"/>
      <c r="E505" s="162"/>
      <c r="F505" s="163"/>
    </row>
    <row r="506" spans="1:6" s="55" customFormat="1">
      <c r="A506" s="17"/>
      <c r="B506" s="24"/>
      <c r="C506" s="29"/>
      <c r="D506" s="40"/>
      <c r="E506" s="162"/>
      <c r="F506" s="163"/>
    </row>
    <row r="507" spans="1:6" s="55" customFormat="1">
      <c r="A507" s="17"/>
      <c r="B507" s="24"/>
      <c r="C507" s="29"/>
      <c r="D507" s="40"/>
      <c r="E507" s="162"/>
      <c r="F507" s="163"/>
    </row>
    <row r="508" spans="1:6" s="55" customFormat="1">
      <c r="A508" s="17"/>
      <c r="B508" s="24"/>
      <c r="C508" s="29"/>
      <c r="D508" s="40"/>
      <c r="E508" s="162"/>
      <c r="F508" s="163"/>
    </row>
    <row r="509" spans="1:6" s="55" customFormat="1">
      <c r="A509" s="17"/>
      <c r="B509" s="24"/>
      <c r="C509" s="29"/>
      <c r="D509" s="40"/>
      <c r="E509" s="162"/>
      <c r="F509" s="163"/>
    </row>
    <row r="510" spans="1:6" s="55" customFormat="1">
      <c r="A510" s="17"/>
      <c r="B510" s="24"/>
      <c r="C510" s="29"/>
      <c r="D510" s="40"/>
      <c r="E510" s="162"/>
      <c r="F510" s="163"/>
    </row>
    <row r="511" spans="1:6" s="55" customFormat="1">
      <c r="A511" s="17"/>
      <c r="B511" s="24"/>
      <c r="C511" s="29"/>
      <c r="D511" s="40"/>
      <c r="E511" s="162"/>
      <c r="F511" s="163"/>
    </row>
    <row r="512" spans="1:6" s="55" customFormat="1">
      <c r="A512" s="17"/>
      <c r="B512" s="24"/>
      <c r="C512" s="29"/>
      <c r="D512" s="40"/>
      <c r="E512" s="162"/>
      <c r="F512" s="163"/>
    </row>
    <row r="513" spans="1:6" s="55" customFormat="1">
      <c r="A513" s="17"/>
      <c r="B513" s="24"/>
      <c r="C513" s="29"/>
      <c r="D513" s="40"/>
      <c r="E513" s="162"/>
      <c r="F513" s="163"/>
    </row>
    <row r="514" spans="1:6" s="55" customFormat="1">
      <c r="A514" s="17"/>
      <c r="B514" s="24"/>
      <c r="C514" s="29"/>
      <c r="D514" s="40"/>
      <c r="E514" s="162"/>
      <c r="F514" s="163"/>
    </row>
    <row r="515" spans="1:6" s="55" customFormat="1">
      <c r="A515" s="17"/>
      <c r="B515" s="24"/>
      <c r="C515" s="29"/>
      <c r="D515" s="40"/>
      <c r="E515" s="162"/>
      <c r="F515" s="163"/>
    </row>
    <row r="516" spans="1:6" s="55" customFormat="1">
      <c r="A516" s="17"/>
      <c r="B516" s="24"/>
      <c r="C516" s="29"/>
      <c r="D516" s="40"/>
      <c r="E516" s="162"/>
      <c r="F516" s="163"/>
    </row>
    <row r="517" spans="1:6" s="55" customFormat="1">
      <c r="A517" s="17"/>
      <c r="B517" s="24"/>
      <c r="C517" s="29"/>
      <c r="D517" s="40"/>
      <c r="E517" s="162"/>
      <c r="F517" s="163"/>
    </row>
    <row r="518" spans="1:6" s="55" customFormat="1">
      <c r="A518" s="17"/>
      <c r="B518" s="24"/>
      <c r="C518" s="29"/>
      <c r="D518" s="40"/>
      <c r="E518" s="162"/>
      <c r="F518" s="163"/>
    </row>
    <row r="519" spans="1:6" s="55" customFormat="1">
      <c r="A519" s="17"/>
      <c r="B519" s="24"/>
      <c r="C519" s="29"/>
      <c r="D519" s="40"/>
      <c r="E519" s="162"/>
      <c r="F519" s="163"/>
    </row>
    <row r="520" spans="1:6" s="55" customFormat="1">
      <c r="A520" s="17"/>
      <c r="B520" s="24"/>
      <c r="C520" s="29"/>
      <c r="D520" s="40"/>
      <c r="E520" s="162"/>
      <c r="F520" s="163"/>
    </row>
    <row r="521" spans="1:6" s="55" customFormat="1">
      <c r="A521" s="17"/>
      <c r="B521" s="24"/>
      <c r="C521" s="29"/>
      <c r="D521" s="40"/>
      <c r="E521" s="162"/>
      <c r="F521" s="163"/>
    </row>
    <row r="522" spans="1:6" s="55" customFormat="1">
      <c r="A522" s="17"/>
      <c r="B522" s="24"/>
      <c r="C522" s="29"/>
      <c r="D522" s="40"/>
      <c r="E522" s="162"/>
      <c r="F522" s="163"/>
    </row>
    <row r="523" spans="1:6" s="55" customFormat="1">
      <c r="A523" s="17"/>
      <c r="B523" s="24"/>
      <c r="C523" s="29"/>
      <c r="D523" s="40"/>
      <c r="E523" s="162"/>
      <c r="F523" s="163"/>
    </row>
    <row r="524" spans="1:6" s="55" customFormat="1">
      <c r="A524" s="17"/>
      <c r="B524" s="24"/>
      <c r="C524" s="29"/>
      <c r="D524" s="40"/>
      <c r="E524" s="162"/>
      <c r="F524" s="163"/>
    </row>
    <row r="525" spans="1:6" s="55" customFormat="1">
      <c r="A525" s="17"/>
      <c r="B525" s="24"/>
      <c r="C525" s="29"/>
      <c r="D525" s="40"/>
      <c r="E525" s="162"/>
      <c r="F525" s="163"/>
    </row>
    <row r="526" spans="1:6" s="55" customFormat="1">
      <c r="A526" s="17"/>
      <c r="B526" s="24"/>
      <c r="C526" s="29"/>
      <c r="D526" s="40"/>
      <c r="E526" s="162"/>
      <c r="F526" s="163"/>
    </row>
    <row r="527" spans="1:6" s="55" customFormat="1">
      <c r="A527" s="17"/>
      <c r="B527" s="24"/>
      <c r="C527" s="29"/>
      <c r="D527" s="40"/>
      <c r="E527" s="162"/>
      <c r="F527" s="163"/>
    </row>
    <row r="528" spans="1:6" s="55" customFormat="1">
      <c r="A528" s="17"/>
      <c r="B528" s="24"/>
      <c r="C528" s="29"/>
      <c r="D528" s="40"/>
      <c r="E528" s="162"/>
      <c r="F528" s="163"/>
    </row>
    <row r="529" spans="1:6" s="55" customFormat="1">
      <c r="A529" s="17"/>
      <c r="B529" s="24"/>
      <c r="C529" s="29"/>
      <c r="D529" s="40"/>
      <c r="E529" s="162"/>
      <c r="F529" s="163"/>
    </row>
    <row r="530" spans="1:6" s="55" customFormat="1">
      <c r="A530" s="17"/>
      <c r="B530" s="24"/>
      <c r="C530" s="29"/>
      <c r="D530" s="40"/>
      <c r="E530" s="162"/>
      <c r="F530" s="163"/>
    </row>
    <row r="531" spans="1:6" s="55" customFormat="1">
      <c r="A531" s="17"/>
      <c r="B531" s="24"/>
      <c r="C531" s="29"/>
      <c r="D531" s="40"/>
      <c r="E531" s="162"/>
      <c r="F531" s="163"/>
    </row>
    <row r="532" spans="1:6" s="55" customFormat="1">
      <c r="A532" s="17"/>
      <c r="B532" s="24"/>
      <c r="C532" s="29"/>
      <c r="D532" s="40"/>
      <c r="E532" s="162"/>
      <c r="F532" s="163"/>
    </row>
    <row r="533" spans="1:6" s="55" customFormat="1">
      <c r="A533" s="17"/>
      <c r="B533" s="24"/>
      <c r="C533" s="29"/>
      <c r="D533" s="40"/>
      <c r="E533" s="162"/>
      <c r="F533" s="163"/>
    </row>
    <row r="534" spans="1:6" s="55" customFormat="1">
      <c r="A534" s="17"/>
      <c r="B534" s="24"/>
      <c r="C534" s="29"/>
      <c r="D534" s="40"/>
      <c r="E534" s="162"/>
      <c r="F534" s="163"/>
    </row>
    <row r="535" spans="1:6" s="55" customFormat="1">
      <c r="A535" s="17"/>
      <c r="B535" s="24"/>
      <c r="C535" s="29"/>
      <c r="D535" s="40"/>
      <c r="E535" s="162"/>
      <c r="F535" s="163"/>
    </row>
    <row r="536" spans="1:6" s="55" customFormat="1">
      <c r="A536" s="17"/>
      <c r="B536" s="24"/>
      <c r="C536" s="29"/>
      <c r="D536" s="40"/>
      <c r="E536" s="162"/>
      <c r="F536" s="163"/>
    </row>
    <row r="537" spans="1:6" s="55" customFormat="1">
      <c r="A537" s="17"/>
      <c r="B537" s="24"/>
      <c r="C537" s="29"/>
      <c r="D537" s="40"/>
      <c r="E537" s="162"/>
      <c r="F537" s="163"/>
    </row>
    <row r="538" spans="1:6" s="55" customFormat="1">
      <c r="A538" s="17"/>
      <c r="B538" s="24"/>
      <c r="C538" s="29"/>
      <c r="D538" s="40"/>
      <c r="E538" s="162"/>
      <c r="F538" s="163"/>
    </row>
    <row r="539" spans="1:6" s="55" customFormat="1">
      <c r="A539" s="17"/>
      <c r="B539" s="24"/>
      <c r="C539" s="29"/>
      <c r="D539" s="40"/>
      <c r="E539" s="162"/>
      <c r="F539" s="163"/>
    </row>
    <row r="540" spans="1:6" s="55" customFormat="1">
      <c r="A540" s="17"/>
      <c r="B540" s="24"/>
      <c r="C540" s="29"/>
      <c r="D540" s="40"/>
      <c r="E540" s="162"/>
      <c r="F540" s="163"/>
    </row>
    <row r="541" spans="1:6" s="55" customFormat="1">
      <c r="A541" s="17"/>
      <c r="B541" s="24"/>
      <c r="C541" s="29"/>
      <c r="D541" s="40"/>
      <c r="E541" s="162"/>
      <c r="F541" s="163"/>
    </row>
    <row r="542" spans="1:6" s="55" customFormat="1">
      <c r="A542" s="17"/>
      <c r="B542" s="24"/>
      <c r="C542" s="29"/>
      <c r="D542" s="40"/>
      <c r="E542" s="162"/>
      <c r="F542" s="163"/>
    </row>
    <row r="543" spans="1:6" s="55" customFormat="1">
      <c r="A543" s="17"/>
      <c r="B543" s="24"/>
      <c r="C543" s="29"/>
      <c r="D543" s="40"/>
      <c r="E543" s="162"/>
      <c r="F543" s="163"/>
    </row>
    <row r="544" spans="1:6" s="55" customFormat="1">
      <c r="A544" s="17"/>
      <c r="B544" s="24"/>
      <c r="C544" s="29"/>
      <c r="D544" s="40"/>
      <c r="E544" s="162"/>
      <c r="F544" s="163"/>
    </row>
    <row r="545" spans="1:6" s="55" customFormat="1">
      <c r="A545" s="17"/>
      <c r="B545" s="24"/>
      <c r="C545" s="29"/>
      <c r="D545" s="40"/>
      <c r="E545" s="162"/>
      <c r="F545" s="163"/>
    </row>
    <row r="546" spans="1:6" s="55" customFormat="1">
      <c r="A546" s="17"/>
      <c r="B546" s="24"/>
      <c r="C546" s="29"/>
      <c r="D546" s="40"/>
      <c r="E546" s="162"/>
      <c r="F546" s="163"/>
    </row>
    <row r="547" spans="1:6" s="55" customFormat="1">
      <c r="A547" s="17"/>
      <c r="B547" s="24"/>
      <c r="C547" s="29"/>
      <c r="D547" s="40"/>
      <c r="E547" s="162"/>
      <c r="F547" s="163"/>
    </row>
    <row r="548" spans="1:6" s="55" customFormat="1">
      <c r="A548" s="17"/>
      <c r="B548" s="24"/>
      <c r="C548" s="29"/>
      <c r="D548" s="40"/>
      <c r="E548" s="162"/>
      <c r="F548" s="163"/>
    </row>
    <row r="549" spans="1:6" s="55" customFormat="1">
      <c r="A549" s="17"/>
      <c r="B549" s="24"/>
      <c r="C549" s="29"/>
      <c r="D549" s="40"/>
      <c r="E549" s="162"/>
      <c r="F549" s="163"/>
    </row>
    <row r="550" spans="1:6" s="55" customFormat="1">
      <c r="A550" s="17"/>
      <c r="B550" s="24"/>
      <c r="C550" s="29"/>
      <c r="D550" s="40"/>
      <c r="E550" s="162"/>
      <c r="F550" s="163"/>
    </row>
    <row r="551" spans="1:6" s="55" customFormat="1">
      <c r="A551" s="17"/>
      <c r="B551" s="24"/>
      <c r="C551" s="29"/>
      <c r="D551" s="40"/>
      <c r="E551" s="162"/>
      <c r="F551" s="163"/>
    </row>
    <row r="552" spans="1:6" s="55" customFormat="1">
      <c r="A552" s="17"/>
      <c r="B552" s="24"/>
      <c r="C552" s="29"/>
      <c r="D552" s="40"/>
      <c r="E552" s="162"/>
      <c r="F552" s="163"/>
    </row>
    <row r="553" spans="1:6" s="55" customFormat="1">
      <c r="A553" s="17"/>
      <c r="B553" s="24"/>
      <c r="C553" s="29"/>
      <c r="D553" s="40"/>
      <c r="E553" s="162"/>
      <c r="F553" s="163"/>
    </row>
    <row r="554" spans="1:6" s="55" customFormat="1">
      <c r="A554" s="17"/>
      <c r="B554" s="24"/>
      <c r="C554" s="29"/>
      <c r="D554" s="40"/>
      <c r="E554" s="162"/>
      <c r="F554" s="163"/>
    </row>
    <row r="555" spans="1:6" s="55" customFormat="1">
      <c r="A555" s="17"/>
      <c r="B555" s="24"/>
      <c r="C555" s="29"/>
      <c r="D555" s="40"/>
      <c r="E555" s="162"/>
      <c r="F555" s="163"/>
    </row>
    <row r="556" spans="1:6" s="55" customFormat="1">
      <c r="A556" s="17"/>
      <c r="B556" s="24"/>
      <c r="C556" s="29"/>
      <c r="D556" s="40"/>
      <c r="E556" s="162"/>
      <c r="F556" s="163"/>
    </row>
    <row r="557" spans="1:6" s="55" customFormat="1">
      <c r="A557" s="17"/>
      <c r="B557" s="24"/>
      <c r="C557" s="29"/>
      <c r="D557" s="40"/>
      <c r="E557" s="162"/>
      <c r="F557" s="163"/>
    </row>
    <row r="558" spans="1:6" s="55" customFormat="1">
      <c r="A558" s="17"/>
      <c r="B558" s="24"/>
      <c r="C558" s="29"/>
      <c r="D558" s="40"/>
      <c r="E558" s="162"/>
      <c r="F558" s="163"/>
    </row>
    <row r="559" spans="1:6" s="55" customFormat="1">
      <c r="A559" s="17"/>
      <c r="B559" s="24"/>
      <c r="C559" s="29"/>
      <c r="D559" s="40"/>
      <c r="E559" s="162"/>
      <c r="F559" s="163"/>
    </row>
    <row r="560" spans="1:6" s="55" customFormat="1">
      <c r="A560" s="17"/>
      <c r="B560" s="24"/>
      <c r="C560" s="29"/>
      <c r="D560" s="40"/>
      <c r="E560" s="162"/>
      <c r="F560" s="163"/>
    </row>
    <row r="561" spans="1:6" s="55" customFormat="1">
      <c r="A561" s="17"/>
      <c r="B561" s="24"/>
      <c r="C561" s="29"/>
      <c r="D561" s="40"/>
      <c r="E561" s="162"/>
      <c r="F561" s="163"/>
    </row>
    <row r="562" spans="1:6" s="55" customFormat="1">
      <c r="A562" s="17"/>
      <c r="B562" s="24"/>
      <c r="C562" s="29"/>
      <c r="D562" s="40"/>
      <c r="E562" s="162"/>
      <c r="F562" s="163"/>
    </row>
    <row r="563" spans="1:6" s="55" customFormat="1">
      <c r="A563" s="17"/>
      <c r="B563" s="24"/>
      <c r="C563" s="29"/>
      <c r="D563" s="40"/>
      <c r="E563" s="162"/>
      <c r="F563" s="163"/>
    </row>
    <row r="564" spans="1:6" s="55" customFormat="1">
      <c r="A564" s="17"/>
      <c r="B564" s="24"/>
      <c r="C564" s="29"/>
      <c r="D564" s="40"/>
      <c r="E564" s="162"/>
      <c r="F564" s="163"/>
    </row>
    <row r="565" spans="1:6" s="55" customFormat="1">
      <c r="A565" s="17"/>
      <c r="B565" s="24"/>
      <c r="C565" s="29"/>
      <c r="D565" s="40"/>
      <c r="E565" s="162"/>
      <c r="F565" s="163"/>
    </row>
    <row r="566" spans="1:6" s="55" customFormat="1">
      <c r="A566" s="17"/>
      <c r="B566" s="24"/>
      <c r="C566" s="29"/>
      <c r="D566" s="40"/>
      <c r="E566" s="162"/>
      <c r="F566" s="163"/>
    </row>
    <row r="567" spans="1:6" s="55" customFormat="1">
      <c r="A567" s="17"/>
      <c r="B567" s="24"/>
      <c r="C567" s="29"/>
      <c r="D567" s="40"/>
      <c r="E567" s="162"/>
      <c r="F567" s="163"/>
    </row>
    <row r="568" spans="1:6" s="55" customFormat="1">
      <c r="A568" s="17"/>
      <c r="B568" s="24"/>
      <c r="C568" s="29"/>
      <c r="D568" s="40"/>
      <c r="E568" s="162"/>
      <c r="F568" s="163"/>
    </row>
    <row r="569" spans="1:6" s="55" customFormat="1">
      <c r="A569" s="17"/>
      <c r="B569" s="24"/>
      <c r="C569" s="29"/>
      <c r="D569" s="40"/>
      <c r="E569" s="162"/>
      <c r="F569" s="163"/>
    </row>
    <row r="570" spans="1:6" s="55" customFormat="1">
      <c r="A570" s="17"/>
      <c r="B570" s="24"/>
      <c r="C570" s="29"/>
      <c r="D570" s="40"/>
      <c r="E570" s="162"/>
      <c r="F570" s="163"/>
    </row>
    <row r="571" spans="1:6" s="55" customFormat="1">
      <c r="A571" s="17"/>
      <c r="B571" s="1"/>
      <c r="C571" s="29"/>
      <c r="D571" s="40"/>
      <c r="E571" s="162"/>
      <c r="F571" s="163"/>
    </row>
    <row r="572" spans="1:6" s="55" customFormat="1">
      <c r="A572" s="17"/>
      <c r="B572" s="1"/>
      <c r="C572" s="29"/>
      <c r="D572" s="40"/>
      <c r="E572" s="162"/>
      <c r="F572" s="163"/>
    </row>
    <row r="573" spans="1:6" s="55" customFormat="1">
      <c r="A573" s="17"/>
      <c r="B573" s="1"/>
      <c r="C573" s="29"/>
      <c r="D573" s="40"/>
      <c r="E573" s="162"/>
      <c r="F573" s="163"/>
    </row>
    <row r="574" spans="1:6" s="55" customFormat="1">
      <c r="A574" s="17"/>
      <c r="B574" s="1"/>
      <c r="C574" s="29"/>
      <c r="D574" s="40"/>
      <c r="E574" s="162"/>
      <c r="F574" s="163"/>
    </row>
    <row r="575" spans="1:6" s="55" customFormat="1">
      <c r="A575" s="17"/>
      <c r="B575" s="1"/>
      <c r="C575" s="29"/>
      <c r="D575" s="40"/>
      <c r="E575" s="162"/>
      <c r="F575" s="163"/>
    </row>
    <row r="576" spans="1:6" s="55" customFormat="1">
      <c r="A576" s="17"/>
      <c r="B576" s="1"/>
      <c r="C576" s="29"/>
      <c r="D576" s="40"/>
      <c r="E576" s="162"/>
      <c r="F576" s="163"/>
    </row>
    <row r="577" spans="1:6" s="55" customFormat="1">
      <c r="A577" s="17"/>
      <c r="B577" s="1"/>
      <c r="C577" s="29"/>
      <c r="D577" s="40"/>
      <c r="E577" s="162"/>
      <c r="F577" s="163"/>
    </row>
    <row r="578" spans="1:6" s="55" customFormat="1">
      <c r="A578" s="17"/>
      <c r="B578" s="1"/>
      <c r="C578" s="29"/>
      <c r="D578" s="40"/>
      <c r="E578" s="162"/>
      <c r="F578" s="163"/>
    </row>
    <row r="579" spans="1:6" s="55" customFormat="1">
      <c r="A579" s="17"/>
      <c r="B579" s="1"/>
      <c r="C579" s="29"/>
      <c r="D579" s="40"/>
      <c r="E579" s="162"/>
      <c r="F579" s="163"/>
    </row>
    <row r="580" spans="1:6" s="55" customFormat="1">
      <c r="A580" s="17"/>
      <c r="B580" s="1"/>
      <c r="C580" s="29"/>
      <c r="D580" s="40"/>
      <c r="E580" s="162"/>
      <c r="F580" s="163"/>
    </row>
    <row r="581" spans="1:6" s="55" customFormat="1">
      <c r="A581" s="17"/>
      <c r="B581" s="1"/>
      <c r="C581" s="29"/>
      <c r="D581" s="40"/>
      <c r="E581" s="162"/>
      <c r="F581" s="163"/>
    </row>
    <row r="582" spans="1:6" s="55" customFormat="1">
      <c r="A582" s="17"/>
      <c r="B582" s="1"/>
      <c r="C582" s="29"/>
      <c r="D582" s="40"/>
      <c r="E582" s="162"/>
      <c r="F582" s="163"/>
    </row>
    <row r="583" spans="1:6" s="55" customFormat="1">
      <c r="A583" s="17"/>
      <c r="B583" s="1"/>
      <c r="C583" s="29"/>
      <c r="D583" s="40"/>
      <c r="E583" s="162"/>
      <c r="F583" s="163"/>
    </row>
    <row r="584" spans="1:6" s="55" customFormat="1">
      <c r="A584" s="17"/>
      <c r="B584" s="1"/>
      <c r="C584" s="29"/>
      <c r="D584" s="40"/>
      <c r="E584" s="162"/>
      <c r="F584" s="163"/>
    </row>
    <row r="585" spans="1:6" s="55" customFormat="1">
      <c r="A585" s="17"/>
      <c r="B585" s="1"/>
      <c r="C585" s="29"/>
      <c r="D585" s="40"/>
      <c r="E585" s="162"/>
      <c r="F585" s="163"/>
    </row>
    <row r="586" spans="1:6" s="55" customFormat="1">
      <c r="A586" s="17"/>
      <c r="B586" s="1"/>
      <c r="C586" s="29"/>
      <c r="D586" s="40"/>
      <c r="E586" s="162"/>
      <c r="F586" s="163"/>
    </row>
    <row r="587" spans="1:6" s="55" customFormat="1">
      <c r="A587" s="17"/>
      <c r="B587" s="24"/>
      <c r="C587" s="29"/>
      <c r="D587" s="40"/>
      <c r="E587" s="162"/>
      <c r="F587" s="163"/>
    </row>
    <row r="588" spans="1:6" s="55" customFormat="1">
      <c r="A588" s="17"/>
      <c r="B588" s="24"/>
      <c r="C588" s="29"/>
      <c r="D588" s="40"/>
      <c r="E588" s="162"/>
      <c r="F588" s="163"/>
    </row>
    <row r="589" spans="1:6" s="55" customFormat="1">
      <c r="A589" s="17"/>
      <c r="B589" s="24"/>
      <c r="C589" s="29"/>
      <c r="D589" s="40"/>
      <c r="E589" s="162"/>
      <c r="F589" s="163"/>
    </row>
    <row r="590" spans="1:6" s="55" customFormat="1">
      <c r="A590" s="17"/>
      <c r="B590" s="24"/>
      <c r="C590" s="29"/>
      <c r="D590" s="40"/>
      <c r="E590" s="162"/>
      <c r="F590" s="163"/>
    </row>
    <row r="591" spans="1:6" s="55" customFormat="1">
      <c r="A591" s="17"/>
      <c r="B591" s="24"/>
      <c r="C591" s="29"/>
      <c r="D591" s="40"/>
      <c r="E591" s="162"/>
      <c r="F591" s="163"/>
    </row>
    <row r="592" spans="1:6" s="55" customFormat="1">
      <c r="A592" s="17"/>
      <c r="B592" s="24"/>
      <c r="C592" s="29"/>
      <c r="D592" s="40"/>
      <c r="E592" s="162"/>
      <c r="F592" s="163"/>
    </row>
    <row r="593" spans="1:6" s="55" customFormat="1">
      <c r="A593" s="17"/>
      <c r="B593" s="24"/>
      <c r="C593" s="29"/>
      <c r="D593" s="40"/>
      <c r="E593" s="162"/>
      <c r="F593" s="163"/>
    </row>
    <row r="594" spans="1:6" s="55" customFormat="1">
      <c r="A594" s="17"/>
      <c r="B594" s="24"/>
      <c r="C594" s="29"/>
      <c r="D594" s="40"/>
      <c r="E594" s="162"/>
      <c r="F594" s="163"/>
    </row>
    <row r="595" spans="1:6" s="55" customFormat="1">
      <c r="A595" s="17"/>
      <c r="B595" s="24"/>
      <c r="C595" s="29"/>
      <c r="D595" s="40"/>
      <c r="E595" s="162"/>
      <c r="F595" s="163"/>
    </row>
    <row r="596" spans="1:6" s="55" customFormat="1">
      <c r="A596" s="17"/>
      <c r="B596" s="24"/>
      <c r="C596" s="29"/>
      <c r="D596" s="40"/>
      <c r="E596" s="162"/>
      <c r="F596" s="163"/>
    </row>
    <row r="597" spans="1:6" s="55" customFormat="1">
      <c r="A597" s="17"/>
      <c r="B597" s="24"/>
      <c r="C597" s="29"/>
      <c r="D597" s="40"/>
      <c r="E597" s="162"/>
      <c r="F597" s="163"/>
    </row>
    <row r="598" spans="1:6" s="55" customFormat="1">
      <c r="A598" s="17"/>
      <c r="B598" s="24"/>
      <c r="C598" s="29"/>
      <c r="D598" s="40"/>
      <c r="E598" s="162"/>
      <c r="F598" s="163"/>
    </row>
    <row r="599" spans="1:6" s="55" customFormat="1">
      <c r="A599" s="17"/>
      <c r="B599" s="24"/>
      <c r="C599" s="29"/>
      <c r="D599" s="40"/>
      <c r="E599" s="162"/>
      <c r="F599" s="163"/>
    </row>
    <row r="600" spans="1:6" s="55" customFormat="1">
      <c r="A600" s="17"/>
      <c r="B600" s="24"/>
      <c r="C600" s="29"/>
      <c r="D600" s="40"/>
      <c r="E600" s="162"/>
      <c r="F600" s="163"/>
    </row>
    <row r="601" spans="1:6" s="55" customFormat="1">
      <c r="A601" s="17"/>
      <c r="B601" s="24"/>
      <c r="C601" s="29"/>
      <c r="D601" s="40"/>
      <c r="E601" s="162"/>
      <c r="F601" s="163"/>
    </row>
    <row r="602" spans="1:6" s="55" customFormat="1">
      <c r="A602" s="17"/>
      <c r="B602" s="24"/>
      <c r="C602" s="29"/>
      <c r="D602" s="40"/>
      <c r="E602" s="162"/>
      <c r="F602" s="163"/>
    </row>
    <row r="603" spans="1:6" s="55" customFormat="1">
      <c r="A603" s="17"/>
      <c r="B603" s="24"/>
      <c r="C603" s="29"/>
      <c r="D603" s="40"/>
      <c r="E603" s="162"/>
      <c r="F603" s="163"/>
    </row>
    <row r="604" spans="1:6" s="55" customFormat="1">
      <c r="A604" s="17"/>
      <c r="B604" s="24"/>
      <c r="C604" s="29"/>
      <c r="D604" s="40"/>
      <c r="E604" s="162"/>
      <c r="F604" s="163"/>
    </row>
    <row r="605" spans="1:6" s="55" customFormat="1">
      <c r="A605" s="17"/>
      <c r="B605" s="24"/>
      <c r="C605" s="29"/>
      <c r="D605" s="40"/>
      <c r="E605" s="162"/>
      <c r="F605" s="163"/>
    </row>
    <row r="606" spans="1:6" s="55" customFormat="1">
      <c r="A606" s="17"/>
      <c r="B606" s="24"/>
      <c r="C606" s="29"/>
      <c r="D606" s="40"/>
      <c r="E606" s="162"/>
      <c r="F606" s="163"/>
    </row>
    <row r="607" spans="1:6" s="55" customFormat="1">
      <c r="A607" s="17"/>
      <c r="B607" s="24"/>
      <c r="C607" s="29"/>
      <c r="D607" s="40"/>
      <c r="E607" s="162"/>
      <c r="F607" s="163"/>
    </row>
    <row r="608" spans="1:6" s="55" customFormat="1">
      <c r="A608" s="17"/>
      <c r="B608" s="24"/>
      <c r="C608" s="29"/>
      <c r="D608" s="40"/>
      <c r="E608" s="162"/>
      <c r="F608" s="163"/>
    </row>
    <row r="609" spans="1:6" s="55" customFormat="1">
      <c r="A609" s="17"/>
      <c r="B609" s="24"/>
      <c r="C609" s="29"/>
      <c r="D609" s="40"/>
      <c r="E609" s="162"/>
      <c r="F609" s="163"/>
    </row>
    <row r="610" spans="1:6" s="55" customFormat="1">
      <c r="A610" s="17"/>
      <c r="B610" s="24"/>
      <c r="C610" s="29"/>
      <c r="D610" s="40"/>
      <c r="E610" s="162"/>
      <c r="F610" s="163"/>
    </row>
    <row r="611" spans="1:6" s="55" customFormat="1">
      <c r="A611" s="17"/>
      <c r="B611" s="24"/>
      <c r="C611" s="29"/>
      <c r="D611" s="40"/>
      <c r="E611" s="162"/>
      <c r="F611" s="163"/>
    </row>
    <row r="612" spans="1:6" s="55" customFormat="1">
      <c r="A612" s="17"/>
      <c r="B612" s="24"/>
      <c r="C612" s="29"/>
      <c r="D612" s="40"/>
      <c r="E612" s="162"/>
      <c r="F612" s="163"/>
    </row>
    <row r="613" spans="1:6" s="55" customFormat="1">
      <c r="A613" s="17"/>
      <c r="B613" s="24"/>
      <c r="C613" s="29"/>
      <c r="D613" s="40"/>
      <c r="E613" s="162"/>
      <c r="F613" s="163"/>
    </row>
    <row r="614" spans="1:6" s="55" customFormat="1">
      <c r="A614" s="17"/>
      <c r="B614" s="24"/>
      <c r="C614" s="29"/>
      <c r="D614" s="40"/>
      <c r="E614" s="162"/>
      <c r="F614" s="163"/>
    </row>
    <row r="615" spans="1:6" s="55" customFormat="1">
      <c r="A615" s="17"/>
      <c r="B615" s="24"/>
      <c r="C615" s="29"/>
      <c r="D615" s="40"/>
      <c r="E615" s="162"/>
      <c r="F615" s="163"/>
    </row>
    <row r="616" spans="1:6" s="55" customFormat="1">
      <c r="A616" s="17"/>
      <c r="B616" s="24"/>
      <c r="C616" s="29"/>
      <c r="D616" s="40"/>
      <c r="E616" s="162"/>
      <c r="F616" s="163"/>
    </row>
    <row r="617" spans="1:6" s="55" customFormat="1">
      <c r="A617" s="17"/>
      <c r="B617" s="24"/>
      <c r="C617" s="29"/>
      <c r="D617" s="40"/>
      <c r="E617" s="163"/>
      <c r="F617" s="163"/>
    </row>
    <row r="618" spans="1:6" s="55" customFormat="1">
      <c r="A618" s="17"/>
      <c r="B618" s="24"/>
      <c r="C618" s="29"/>
      <c r="D618" s="40"/>
      <c r="E618" s="163"/>
      <c r="F618" s="163"/>
    </row>
    <row r="619" spans="1:6" s="55" customFormat="1">
      <c r="A619" s="17"/>
      <c r="B619" s="24"/>
      <c r="C619" s="29"/>
      <c r="D619" s="40"/>
      <c r="E619" s="163"/>
      <c r="F619" s="163"/>
    </row>
    <row r="623" spans="1:6" s="55" customFormat="1">
      <c r="A623" s="17"/>
      <c r="B623" s="24"/>
      <c r="C623" s="29"/>
      <c r="D623" s="40"/>
      <c r="E623" s="163"/>
      <c r="F623" s="163"/>
    </row>
    <row r="624" spans="1:6" s="55" customFormat="1">
      <c r="A624" s="17"/>
      <c r="B624" s="24"/>
      <c r="C624" s="29"/>
      <c r="D624" s="40"/>
      <c r="E624" s="163"/>
      <c r="F624" s="163"/>
    </row>
    <row r="625" spans="2:2">
      <c r="B625" s="24"/>
    </row>
    <row r="626" spans="2:2">
      <c r="B626" s="24"/>
    </row>
    <row r="627" spans="2:2">
      <c r="B627" s="24"/>
    </row>
    <row r="628" spans="2:2">
      <c r="B628" s="24"/>
    </row>
    <row r="629" spans="2:2">
      <c r="B629" s="24"/>
    </row>
    <row r="630" spans="2:2">
      <c r="B630" s="24"/>
    </row>
    <row r="631" spans="2:2">
      <c r="B631" s="24"/>
    </row>
    <row r="632" spans="2:2">
      <c r="B632" s="24"/>
    </row>
    <row r="633" spans="2:2">
      <c r="B633" s="24"/>
    </row>
    <row r="634" spans="2:2">
      <c r="B634" s="24"/>
    </row>
    <row r="635" spans="2:2">
      <c r="B635" s="24"/>
    </row>
    <row r="636" spans="2:2">
      <c r="B636" s="24"/>
    </row>
    <row r="637" spans="2:2">
      <c r="B637" s="24"/>
    </row>
    <row r="638" spans="2:2">
      <c r="B638" s="24"/>
    </row>
    <row r="639" spans="2:2">
      <c r="B639" s="24"/>
    </row>
    <row r="640" spans="2:2">
      <c r="B640" s="24"/>
    </row>
    <row r="641" spans="2:2">
      <c r="B641" s="24"/>
    </row>
    <row r="642" spans="2:2">
      <c r="B642" s="24"/>
    </row>
    <row r="643" spans="2:2">
      <c r="B643" s="24"/>
    </row>
  </sheetData>
  <pageMargins left="0.70866141732283472" right="0.70866141732283472" top="0.85677083333333337" bottom="0.74803149606299213" header="0.31496062992125984" footer="0.31496062992125984"/>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7.xml><?xml version="1.0" encoding="utf-8"?>
<worksheet xmlns="http://schemas.openxmlformats.org/spreadsheetml/2006/main" xmlns:r="http://schemas.openxmlformats.org/officeDocument/2006/relationships">
  <sheetPr>
    <tabColor rgb="FFFFC000"/>
  </sheetPr>
  <dimension ref="A1:I513"/>
  <sheetViews>
    <sheetView showZeros="0" view="pageBreakPreview" zoomScaleNormal="100" zoomScaleSheetLayoutView="100" workbookViewId="0">
      <selection activeCell="E2" sqref="E2:F401"/>
    </sheetView>
  </sheetViews>
  <sheetFormatPr defaultColWidth="8.85546875" defaultRowHeight="15"/>
  <cols>
    <col min="1" max="1" width="8.7109375" style="17" customWidth="1"/>
    <col min="2" max="2" width="45.140625" style="1" customWidth="1"/>
    <col min="3" max="3" width="8.5703125" style="29" customWidth="1"/>
    <col min="4" max="4" width="10.7109375" style="40" customWidth="1"/>
    <col min="5" max="5" width="13.7109375" style="163" customWidth="1"/>
    <col min="6" max="6" width="16.7109375" style="163" customWidth="1"/>
    <col min="7" max="16384" width="8.85546875" style="2"/>
  </cols>
  <sheetData>
    <row r="1" spans="1:6">
      <c r="A1" s="118" t="s">
        <v>260</v>
      </c>
      <c r="B1" s="107" t="s">
        <v>261</v>
      </c>
      <c r="C1" s="64" t="s">
        <v>262</v>
      </c>
      <c r="D1" s="114" t="s">
        <v>263</v>
      </c>
      <c r="E1" s="158" t="s">
        <v>264</v>
      </c>
      <c r="F1" s="159" t="s">
        <v>265</v>
      </c>
    </row>
    <row r="3" spans="1:6">
      <c r="A3" s="17" t="s">
        <v>0</v>
      </c>
      <c r="B3" s="25" t="s">
        <v>1</v>
      </c>
      <c r="E3" s="162"/>
    </row>
    <row r="4" spans="1:6">
      <c r="E4" s="162"/>
    </row>
    <row r="5" spans="1:6">
      <c r="B5" s="25" t="s">
        <v>2</v>
      </c>
      <c r="E5" s="162"/>
    </row>
    <row r="6" spans="1:6">
      <c r="E6" s="162"/>
    </row>
    <row r="7" spans="1:6" ht="30">
      <c r="B7" s="1" t="s">
        <v>3</v>
      </c>
      <c r="E7" s="162"/>
    </row>
    <row r="8" spans="1:6" ht="135">
      <c r="B8" s="1" t="s">
        <v>1553</v>
      </c>
      <c r="E8" s="162"/>
    </row>
    <row r="9" spans="1:6" ht="120">
      <c r="B9" s="1" t="s">
        <v>20</v>
      </c>
      <c r="E9" s="162"/>
    </row>
    <row r="10" spans="1:6" ht="34.5" customHeight="1">
      <c r="B10" s="1" t="s">
        <v>1554</v>
      </c>
      <c r="E10" s="162"/>
    </row>
    <row r="11" spans="1:6" ht="96.75" customHeight="1">
      <c r="B11" s="1" t="s">
        <v>104</v>
      </c>
      <c r="E11" s="162"/>
    </row>
    <row r="12" spans="1:6" ht="45">
      <c r="B12" s="1" t="s">
        <v>4</v>
      </c>
      <c r="E12" s="162"/>
    </row>
    <row r="13" spans="1:6" ht="75">
      <c r="B13" s="1" t="s">
        <v>5</v>
      </c>
      <c r="E13" s="162"/>
    </row>
    <row r="14" spans="1:6" ht="60">
      <c r="B14" s="1" t="s">
        <v>6</v>
      </c>
      <c r="D14" s="40" t="s">
        <v>44</v>
      </c>
      <c r="E14" s="162"/>
    </row>
    <row r="15" spans="1:6" ht="180">
      <c r="B15" s="1" t="s">
        <v>401</v>
      </c>
      <c r="E15" s="162"/>
    </row>
    <row r="16" spans="1:6" ht="75">
      <c r="B16" s="1" t="s">
        <v>8</v>
      </c>
      <c r="E16" s="162"/>
    </row>
    <row r="17" spans="2:5">
      <c r="E17" s="162"/>
    </row>
    <row r="18" spans="2:5">
      <c r="B18" s="1" t="s">
        <v>1555</v>
      </c>
      <c r="E18" s="162"/>
    </row>
    <row r="19" spans="2:5">
      <c r="E19" s="162"/>
    </row>
    <row r="20" spans="2:5">
      <c r="B20" s="1" t="s">
        <v>1556</v>
      </c>
      <c r="E20" s="162"/>
    </row>
    <row r="21" spans="2:5" ht="45">
      <c r="B21" s="1" t="s">
        <v>1557</v>
      </c>
      <c r="E21" s="162"/>
    </row>
    <row r="22" spans="2:5" ht="45">
      <c r="B22" s="1" t="s">
        <v>1558</v>
      </c>
      <c r="E22" s="162"/>
    </row>
    <row r="23" spans="2:5">
      <c r="B23" s="2"/>
      <c r="E23" s="162"/>
    </row>
    <row r="24" spans="2:5">
      <c r="B24" s="1" t="s">
        <v>1559</v>
      </c>
      <c r="E24" s="162"/>
    </row>
    <row r="25" spans="2:5">
      <c r="B25" s="1" t="s">
        <v>1560</v>
      </c>
      <c r="E25" s="162"/>
    </row>
    <row r="26" spans="2:5">
      <c r="B26" s="1" t="s">
        <v>1561</v>
      </c>
      <c r="E26" s="162"/>
    </row>
    <row r="27" spans="2:5">
      <c r="B27" s="1" t="s">
        <v>1562</v>
      </c>
      <c r="E27" s="162"/>
    </row>
    <row r="28" spans="2:5">
      <c r="B28" s="1" t="s">
        <v>1563</v>
      </c>
      <c r="E28" s="162"/>
    </row>
    <row r="29" spans="2:5">
      <c r="B29" s="1" t="s">
        <v>1564</v>
      </c>
      <c r="E29" s="162"/>
    </row>
    <row r="30" spans="2:5">
      <c r="B30" s="1" t="s">
        <v>1565</v>
      </c>
      <c r="E30" s="162"/>
    </row>
    <row r="31" spans="2:5">
      <c r="E31" s="162"/>
    </row>
    <row r="32" spans="2:5">
      <c r="B32" s="1" t="s">
        <v>1566</v>
      </c>
      <c r="E32" s="162"/>
    </row>
    <row r="33" spans="1:6">
      <c r="B33" s="1" t="s">
        <v>1567</v>
      </c>
      <c r="E33" s="162"/>
    </row>
    <row r="34" spans="1:6">
      <c r="E34" s="162"/>
    </row>
    <row r="35" spans="1:6">
      <c r="E35" s="162"/>
    </row>
    <row r="36" spans="1:6">
      <c r="E36" s="162"/>
    </row>
    <row r="37" spans="1:6">
      <c r="E37" s="162"/>
    </row>
    <row r="38" spans="1:6" ht="75">
      <c r="A38" s="17">
        <f>COUNT($A$4:A37)+1</f>
        <v>1</v>
      </c>
      <c r="B38" s="1" t="s">
        <v>977</v>
      </c>
      <c r="C38" s="29" t="s">
        <v>9</v>
      </c>
      <c r="D38" s="40">
        <f>(((3.8)*(0.3+0.4)+(6.68+7.38+1.73+9.06*3+8.96+14.16+8.93+3.64+2.2)*0.3*2)*0.1)*1.1</f>
        <v>5.629360000000001</v>
      </c>
      <c r="E38" s="162"/>
    </row>
    <row r="39" spans="1:6">
      <c r="E39" s="162"/>
    </row>
    <row r="40" spans="1:6" ht="135">
      <c r="A40" s="17">
        <f>COUNT($A$4:A39)+1</f>
        <v>2</v>
      </c>
      <c r="B40" s="1" t="s">
        <v>978</v>
      </c>
      <c r="C40" s="29" t="s">
        <v>9</v>
      </c>
      <c r="D40" s="40">
        <f>1394*0.1</f>
        <v>139.4</v>
      </c>
      <c r="E40" s="162"/>
    </row>
    <row r="41" spans="1:6">
      <c r="E41" s="162"/>
    </row>
    <row r="42" spans="1:6">
      <c r="A42" s="17">
        <f>COUNT($A$4:A41)+1</f>
        <v>3</v>
      </c>
      <c r="B42" s="25" t="s">
        <v>979</v>
      </c>
      <c r="E42" s="162"/>
    </row>
    <row r="43" spans="1:6" ht="150">
      <c r="B43" s="1" t="s">
        <v>980</v>
      </c>
      <c r="E43" s="162"/>
    </row>
    <row r="44" spans="1:6" ht="90">
      <c r="B44" s="1" t="s">
        <v>985</v>
      </c>
      <c r="E44" s="162"/>
    </row>
    <row r="45" spans="1:6" ht="60">
      <c r="A45" s="126"/>
      <c r="B45" s="32" t="s">
        <v>990</v>
      </c>
      <c r="C45" s="56"/>
      <c r="E45" s="162"/>
      <c r="F45" s="162"/>
    </row>
    <row r="46" spans="1:6" ht="30">
      <c r="B46" s="1" t="s">
        <v>984</v>
      </c>
      <c r="E46" s="162"/>
    </row>
    <row r="47" spans="1:6">
      <c r="A47" s="23"/>
      <c r="B47" s="1" t="s">
        <v>981</v>
      </c>
      <c r="C47" s="29" t="s">
        <v>18</v>
      </c>
      <c r="D47" s="40">
        <v>28</v>
      </c>
      <c r="E47" s="162"/>
    </row>
    <row r="48" spans="1:6">
      <c r="A48" s="23"/>
      <c r="B48" s="1" t="s">
        <v>982</v>
      </c>
      <c r="C48" s="29" t="s">
        <v>18</v>
      </c>
      <c r="D48" s="40">
        <v>28</v>
      </c>
      <c r="E48" s="162"/>
    </row>
    <row r="49" spans="1:5" ht="30">
      <c r="B49" s="1" t="s">
        <v>983</v>
      </c>
      <c r="C49" s="29" t="s">
        <v>9</v>
      </c>
      <c r="D49" s="40">
        <f>(((3.8)*(0.3+0.4)+(6.68+7.38+1.73+9.06*3+8.96+14.16+8.93+3.64+2.2)*0.3*2)*0.8)*1.3</f>
        <v>53.223040000000005</v>
      </c>
      <c r="E49" s="162"/>
    </row>
    <row r="50" spans="1:5">
      <c r="E50" s="162"/>
    </row>
    <row r="51" spans="1:5">
      <c r="A51" s="17">
        <f>COUNT($A$4:A48)+1</f>
        <v>4</v>
      </c>
      <c r="B51" s="25" t="s">
        <v>407</v>
      </c>
      <c r="E51" s="162"/>
    </row>
    <row r="52" spans="1:5" ht="105">
      <c r="A52" s="23"/>
      <c r="B52" s="1" t="s">
        <v>997</v>
      </c>
      <c r="E52" s="162"/>
    </row>
    <row r="53" spans="1:5">
      <c r="B53" s="1" t="s">
        <v>405</v>
      </c>
      <c r="C53" s="29" t="s">
        <v>9</v>
      </c>
      <c r="D53" s="40">
        <f>(51.5*3+11.8*5+11+21.6+19.5+9.8+4.8+51.1+49.6+47.9+9.85*6+1*6+2.6*5+2.92*7+6.5+1.75*2)*0.9*0.8*1.4</f>
        <v>541.63872000000015</v>
      </c>
      <c r="E53" s="162"/>
    </row>
    <row r="54" spans="1:5">
      <c r="B54" s="1" t="s">
        <v>412</v>
      </c>
      <c r="C54" s="29" t="s">
        <v>11</v>
      </c>
      <c r="D54" s="40">
        <f>663*1.2</f>
        <v>795.6</v>
      </c>
      <c r="E54" s="162"/>
    </row>
    <row r="55" spans="1:5">
      <c r="E55" s="162"/>
    </row>
    <row r="56" spans="1:5">
      <c r="A56" s="17">
        <f>COUNT($A$4:A54)+1</f>
        <v>5</v>
      </c>
      <c r="B56" s="25" t="s">
        <v>411</v>
      </c>
      <c r="E56" s="162"/>
    </row>
    <row r="57" spans="1:5" ht="90">
      <c r="A57" s="23"/>
      <c r="B57" s="1" t="s">
        <v>1527</v>
      </c>
      <c r="E57" s="162"/>
    </row>
    <row r="58" spans="1:5" ht="30">
      <c r="A58" s="23"/>
      <c r="B58" s="1" t="s">
        <v>402</v>
      </c>
      <c r="E58" s="162"/>
    </row>
    <row r="59" spans="1:5">
      <c r="B59" s="1" t="s">
        <v>408</v>
      </c>
      <c r="C59" s="29" t="s">
        <v>9</v>
      </c>
      <c r="D59" s="40">
        <f>(1.25+2)*0.05*1.1</f>
        <v>0.17875000000000002</v>
      </c>
      <c r="E59" s="162"/>
    </row>
    <row r="60" spans="1:5">
      <c r="B60" s="1" t="s">
        <v>409</v>
      </c>
      <c r="C60" s="29" t="s">
        <v>9</v>
      </c>
      <c r="D60" s="40">
        <f>(1.25+2+2.2*2+1.75)*0.4*1*1.1</f>
        <v>4.136000000000001</v>
      </c>
      <c r="E60" s="162"/>
    </row>
    <row r="61" spans="1:5">
      <c r="B61" s="1" t="s">
        <v>410</v>
      </c>
      <c r="C61" s="29" t="s">
        <v>11</v>
      </c>
      <c r="D61" s="40">
        <v>7.32</v>
      </c>
      <c r="E61" s="162"/>
    </row>
    <row r="62" spans="1:5">
      <c r="E62" s="162"/>
    </row>
    <row r="63" spans="1:5">
      <c r="A63" s="17">
        <f>COUNT($A$4:A62)+1</f>
        <v>6</v>
      </c>
      <c r="B63" s="25" t="s">
        <v>403</v>
      </c>
      <c r="E63" s="162"/>
    </row>
    <row r="64" spans="1:5" ht="120">
      <c r="A64" s="23"/>
      <c r="B64" s="1" t="s">
        <v>678</v>
      </c>
      <c r="E64" s="162"/>
    </row>
    <row r="65" spans="1:5">
      <c r="A65" s="23"/>
      <c r="B65" s="1" t="s">
        <v>404</v>
      </c>
      <c r="E65" s="162"/>
    </row>
    <row r="66" spans="1:5">
      <c r="B66" s="1" t="s">
        <v>405</v>
      </c>
      <c r="C66" s="29" t="s">
        <v>9</v>
      </c>
      <c r="D66" s="40">
        <f>(1150)*0.2*1.1</f>
        <v>253.00000000000003</v>
      </c>
      <c r="E66" s="162"/>
    </row>
    <row r="67" spans="1:5">
      <c r="B67" s="1" t="s">
        <v>406</v>
      </c>
      <c r="C67" s="29" t="s">
        <v>11</v>
      </c>
      <c r="D67" s="40">
        <v>15</v>
      </c>
      <c r="E67" s="162"/>
    </row>
    <row r="68" spans="1:5">
      <c r="E68" s="162"/>
    </row>
    <row r="69" spans="1:5" ht="30">
      <c r="A69" s="17">
        <f>COUNT($A$4:A68)+1</f>
        <v>7</v>
      </c>
      <c r="B69" s="1" t="s">
        <v>1528</v>
      </c>
      <c r="E69" s="162"/>
    </row>
    <row r="70" spans="1:5" ht="45">
      <c r="B70" s="1" t="s">
        <v>1529</v>
      </c>
      <c r="E70" s="162"/>
    </row>
    <row r="71" spans="1:5">
      <c r="B71" s="1" t="s">
        <v>405</v>
      </c>
      <c r="C71" s="29" t="s">
        <v>9</v>
      </c>
      <c r="D71" s="40">
        <f>((40*3+30)*0.25*0.4)*1.1</f>
        <v>16.5</v>
      </c>
      <c r="E71" s="162"/>
    </row>
    <row r="72" spans="1:5">
      <c r="B72" s="1" t="s">
        <v>413</v>
      </c>
      <c r="C72" s="29" t="s">
        <v>11</v>
      </c>
      <c r="D72" s="40">
        <f>((40*3+30)*0.4*2)*1.1</f>
        <v>132</v>
      </c>
      <c r="E72" s="162"/>
    </row>
    <row r="73" spans="1:5">
      <c r="E73" s="162"/>
    </row>
    <row r="74" spans="1:5" ht="60">
      <c r="A74" s="17">
        <f>COUNT($A$4:A73)+1</f>
        <v>8</v>
      </c>
      <c r="B74" s="1" t="s">
        <v>1542</v>
      </c>
      <c r="E74" s="162"/>
    </row>
    <row r="75" spans="1:5" ht="30">
      <c r="B75" s="1" t="s">
        <v>12</v>
      </c>
      <c r="E75" s="162"/>
    </row>
    <row r="76" spans="1:5" ht="60">
      <c r="B76" s="1" t="s">
        <v>13</v>
      </c>
      <c r="E76" s="162"/>
    </row>
    <row r="77" spans="1:5" ht="30">
      <c r="B77" s="1" t="s">
        <v>416</v>
      </c>
      <c r="E77" s="162"/>
    </row>
    <row r="78" spans="1:5" ht="30">
      <c r="B78" s="1" t="s">
        <v>14</v>
      </c>
      <c r="E78" s="162"/>
    </row>
    <row r="79" spans="1:5">
      <c r="B79" s="1" t="s">
        <v>10</v>
      </c>
      <c r="E79" s="162"/>
    </row>
    <row r="80" spans="1:5">
      <c r="B80" s="1" t="s">
        <v>1530</v>
      </c>
      <c r="C80" s="29" t="s">
        <v>9</v>
      </c>
      <c r="D80" s="40">
        <f>(4*6)*0.5*1.05</f>
        <v>12.600000000000001</v>
      </c>
      <c r="E80" s="162"/>
    </row>
    <row r="81" spans="1:5">
      <c r="B81" s="1" t="s">
        <v>417</v>
      </c>
      <c r="C81" s="29" t="s">
        <v>11</v>
      </c>
      <c r="D81" s="40">
        <f>(4+6)*2*0.5*1.05</f>
        <v>10.5</v>
      </c>
      <c r="E81" s="162"/>
    </row>
    <row r="82" spans="1:5">
      <c r="E82" s="162"/>
    </row>
    <row r="83" spans="1:5" ht="30">
      <c r="A83" s="17">
        <f>COUNT($A$4:A82)+1</f>
        <v>9</v>
      </c>
      <c r="B83" s="1" t="s">
        <v>1531</v>
      </c>
      <c r="E83" s="162"/>
    </row>
    <row r="84" spans="1:5" ht="45">
      <c r="B84" s="1" t="s">
        <v>419</v>
      </c>
      <c r="E84" s="162"/>
    </row>
    <row r="85" spans="1:5" ht="30">
      <c r="B85" s="1" t="s">
        <v>12</v>
      </c>
      <c r="E85" s="162"/>
    </row>
    <row r="86" spans="1:5" ht="60">
      <c r="B86" s="1" t="s">
        <v>13</v>
      </c>
      <c r="E86" s="162"/>
    </row>
    <row r="87" spans="1:5">
      <c r="B87" s="1" t="s">
        <v>10</v>
      </c>
      <c r="E87" s="162"/>
    </row>
    <row r="88" spans="1:5">
      <c r="B88" s="1" t="s">
        <v>1532</v>
      </c>
      <c r="C88" s="29" t="s">
        <v>9</v>
      </c>
      <c r="D88" s="40">
        <f>((8.34*4+5.44+4.45*7+7.36+9.46+7.86+3.2+4.11+7.7+10.36+2.87+3.76*3+12.16*2+6.78)*0.22*3.4+(6.82*3+1.64*6+10.24*3)*0.22*4)*1.1</f>
        <v>195.03506000000002</v>
      </c>
      <c r="E88" s="162"/>
    </row>
    <row r="89" spans="1:5">
      <c r="B89" s="1" t="s">
        <v>1533</v>
      </c>
      <c r="C89" s="29" t="s">
        <v>9</v>
      </c>
      <c r="D89" s="40">
        <f>(41*2*0.47+9.53*0.61+7.1*2*0.31+7.01*1.25+19.1*2.14+17.65*0.88+9.07*0.31+7.67*0.8+10.36*0.8+4.74*0.8+3.2*0.8+10.18*3*(0.7+1.37)+7.13*(0.09+1.49)*0.5*3)*0.2*1.1</f>
        <v>47.878028000000008</v>
      </c>
      <c r="E89" s="162"/>
    </row>
    <row r="90" spans="1:5" ht="15.75" customHeight="1">
      <c r="B90" s="1" t="s">
        <v>420</v>
      </c>
      <c r="C90" s="29" t="s">
        <v>11</v>
      </c>
      <c r="D90" s="40">
        <f>(D88+D89)/0.22*2</f>
        <v>2208.3008</v>
      </c>
      <c r="E90" s="162"/>
    </row>
    <row r="91" spans="1:5">
      <c r="E91" s="162"/>
    </row>
    <row r="92" spans="1:5" ht="45">
      <c r="A92" s="17">
        <f>COUNT($A$4:A91)+1</f>
        <v>10</v>
      </c>
      <c r="B92" s="1" t="s">
        <v>1568</v>
      </c>
      <c r="E92" s="162"/>
    </row>
    <row r="93" spans="1:5" ht="45">
      <c r="B93" s="1" t="s">
        <v>1569</v>
      </c>
      <c r="E93" s="162"/>
    </row>
    <row r="94" spans="1:5" ht="30">
      <c r="B94" s="1" t="s">
        <v>12</v>
      </c>
      <c r="E94" s="162"/>
    </row>
    <row r="95" spans="1:5" ht="60">
      <c r="B95" s="1" t="s">
        <v>13</v>
      </c>
      <c r="E95" s="162"/>
    </row>
    <row r="96" spans="1:5">
      <c r="B96" s="1" t="s">
        <v>10</v>
      </c>
      <c r="E96" s="162"/>
    </row>
    <row r="97" spans="1:5">
      <c r="B97" s="1" t="s">
        <v>1572</v>
      </c>
      <c r="C97" s="29" t="s">
        <v>9</v>
      </c>
      <c r="D97" s="40">
        <f>((0.6*0.3*31+0.3*0.3*9)*3.4)*1.1</f>
        <v>23.898600000000002</v>
      </c>
      <c r="E97" s="162"/>
    </row>
    <row r="98" spans="1:5">
      <c r="B98" s="1" t="s">
        <v>1570</v>
      </c>
      <c r="C98" s="29" t="s">
        <v>9</v>
      </c>
      <c r="D98" s="40">
        <f>(0.3*3*3.4*9)*1.1</f>
        <v>30.293999999999997</v>
      </c>
      <c r="E98" s="162"/>
    </row>
    <row r="99" spans="1:5" ht="15.75" customHeight="1">
      <c r="B99" s="1" t="s">
        <v>1571</v>
      </c>
      <c r="C99" s="29" t="s">
        <v>11</v>
      </c>
      <c r="D99" s="40">
        <f>(((0.6+0.3)*2*31)*3.4)*1.1</f>
        <v>208.69200000000001</v>
      </c>
      <c r="E99" s="162"/>
    </row>
    <row r="100" spans="1:5">
      <c r="E100" s="162"/>
    </row>
    <row r="101" spans="1:5" ht="60">
      <c r="A101" s="17">
        <f>COUNT($A$4:A100)+1</f>
        <v>11</v>
      </c>
      <c r="B101" s="1" t="s">
        <v>1534</v>
      </c>
      <c r="E101" s="162"/>
    </row>
    <row r="102" spans="1:5" ht="30">
      <c r="B102" s="1" t="s">
        <v>12</v>
      </c>
      <c r="E102" s="162"/>
    </row>
    <row r="103" spans="1:5" ht="60">
      <c r="B103" s="1" t="s">
        <v>13</v>
      </c>
      <c r="E103" s="162"/>
    </row>
    <row r="104" spans="1:5">
      <c r="B104" s="1" t="s">
        <v>19</v>
      </c>
      <c r="E104" s="162"/>
    </row>
    <row r="105" spans="1:5">
      <c r="B105" s="1" t="s">
        <v>418</v>
      </c>
      <c r="C105" s="29" t="s">
        <v>9</v>
      </c>
      <c r="D105" s="40">
        <f>1100*0.5*0.22*1.05</f>
        <v>127.05000000000001</v>
      </c>
      <c r="E105" s="162"/>
    </row>
    <row r="106" spans="1:5">
      <c r="B106" s="1" t="s">
        <v>413</v>
      </c>
      <c r="C106" s="29" t="s">
        <v>11</v>
      </c>
      <c r="D106" s="40">
        <f>550*1.05</f>
        <v>577.5</v>
      </c>
      <c r="E106" s="162"/>
    </row>
    <row r="107" spans="1:5" ht="32.25" customHeight="1">
      <c r="E107" s="162"/>
    </row>
    <row r="108" spans="1:5" ht="60">
      <c r="A108" s="17">
        <f>COUNT($A$4:A107)+1</f>
        <v>12</v>
      </c>
      <c r="B108" s="1" t="s">
        <v>1535</v>
      </c>
      <c r="E108" s="162"/>
    </row>
    <row r="109" spans="1:5" ht="30">
      <c r="B109" s="1" t="s">
        <v>12</v>
      </c>
      <c r="E109" s="162"/>
    </row>
    <row r="110" spans="1:5" ht="60">
      <c r="B110" s="1" t="s">
        <v>13</v>
      </c>
      <c r="E110" s="162"/>
    </row>
    <row r="111" spans="1:5">
      <c r="B111" s="1" t="s">
        <v>19</v>
      </c>
      <c r="E111" s="162"/>
    </row>
    <row r="112" spans="1:5">
      <c r="B112" s="1" t="s">
        <v>426</v>
      </c>
      <c r="C112" s="29" t="s">
        <v>9</v>
      </c>
      <c r="D112" s="40">
        <f>1100*0.5*0.2*1.05</f>
        <v>115.5</v>
      </c>
      <c r="E112" s="162"/>
    </row>
    <row r="113" spans="1:5">
      <c r="B113" s="1" t="s">
        <v>413</v>
      </c>
      <c r="C113" s="29" t="s">
        <v>11</v>
      </c>
      <c r="D113" s="40">
        <f>550*1.05</f>
        <v>577.5</v>
      </c>
      <c r="E113" s="162"/>
    </row>
    <row r="114" spans="1:5">
      <c r="E114" s="162"/>
    </row>
    <row r="115" spans="1:5" ht="60">
      <c r="A115" s="17">
        <f>COUNT($A$4:A114)+1</f>
        <v>13</v>
      </c>
      <c r="B115" s="1" t="s">
        <v>1536</v>
      </c>
      <c r="E115" s="162"/>
    </row>
    <row r="116" spans="1:5" ht="30">
      <c r="B116" s="1" t="s">
        <v>12</v>
      </c>
      <c r="E116" s="162"/>
    </row>
    <row r="117" spans="1:5" ht="60">
      <c r="B117" s="1" t="s">
        <v>13</v>
      </c>
      <c r="E117" s="162"/>
    </row>
    <row r="118" spans="1:5">
      <c r="B118" s="1" t="s">
        <v>19</v>
      </c>
      <c r="E118" s="162"/>
    </row>
    <row r="119" spans="1:5">
      <c r="B119" s="1" t="s">
        <v>1537</v>
      </c>
      <c r="C119" s="29" t="s">
        <v>9</v>
      </c>
      <c r="D119" s="40">
        <f>2.8*6.13*0.16*1.05</f>
        <v>2.8835519999999999</v>
      </c>
      <c r="E119" s="162"/>
    </row>
    <row r="120" spans="1:5">
      <c r="B120" s="1" t="s">
        <v>1538</v>
      </c>
      <c r="C120" s="29" t="s">
        <v>9</v>
      </c>
      <c r="D120" s="40">
        <f>1.33*10.3*3*0.14*1.05</f>
        <v>6.0412590000000028</v>
      </c>
      <c r="E120" s="162"/>
    </row>
    <row r="121" spans="1:5">
      <c r="B121" s="1" t="s">
        <v>421</v>
      </c>
      <c r="C121" s="29" t="s">
        <v>11</v>
      </c>
      <c r="D121" s="40">
        <f>(1.33*10.3*3+6.13*2.8)*1.05</f>
        <v>61.174050000000015</v>
      </c>
      <c r="E121" s="162"/>
    </row>
    <row r="122" spans="1:5">
      <c r="E122" s="162"/>
    </row>
    <row r="123" spans="1:5" ht="45">
      <c r="A123" s="17">
        <f>COUNT($A$4:A122)+1</f>
        <v>14</v>
      </c>
      <c r="B123" s="1" t="s">
        <v>1539</v>
      </c>
      <c r="E123" s="162"/>
    </row>
    <row r="124" spans="1:5" ht="30">
      <c r="B124" s="1" t="s">
        <v>12</v>
      </c>
      <c r="E124" s="162"/>
    </row>
    <row r="125" spans="1:5" ht="60">
      <c r="B125" s="1" t="s">
        <v>13</v>
      </c>
      <c r="E125" s="162"/>
    </row>
    <row r="126" spans="1:5">
      <c r="B126" s="1" t="s">
        <v>10</v>
      </c>
      <c r="E126" s="162"/>
    </row>
    <row r="127" spans="1:5">
      <c r="B127" s="1" t="s">
        <v>414</v>
      </c>
      <c r="C127" s="29" t="s">
        <v>9</v>
      </c>
      <c r="D127" s="40">
        <f>(2.67*1.55*0.3+1.75*2.8*0.3)</f>
        <v>2.7115499999999999</v>
      </c>
      <c r="E127" s="162"/>
    </row>
    <row r="128" spans="1:5">
      <c r="B128" s="1" t="s">
        <v>422</v>
      </c>
      <c r="C128" s="29" t="s">
        <v>11</v>
      </c>
      <c r="D128" s="40">
        <v>8</v>
      </c>
      <c r="E128" s="162"/>
    </row>
    <row r="129" spans="1:5">
      <c r="B129" s="1" t="s">
        <v>421</v>
      </c>
      <c r="C129" s="29" t="s">
        <v>11</v>
      </c>
      <c r="D129" s="40">
        <f>((2.67+1)*1.55+(1.75+1)*2.8)*1.3</f>
        <v>17.405050000000003</v>
      </c>
      <c r="E129" s="162"/>
    </row>
    <row r="130" spans="1:5" ht="17.25" customHeight="1">
      <c r="E130" s="162"/>
    </row>
    <row r="131" spans="1:5" ht="45">
      <c r="A131" s="17">
        <f>COUNT($A$4:A130)+1</f>
        <v>15</v>
      </c>
      <c r="B131" s="1" t="s">
        <v>1541</v>
      </c>
      <c r="E131" s="162"/>
    </row>
    <row r="132" spans="1:5" ht="30">
      <c r="B132" s="1" t="s">
        <v>12</v>
      </c>
      <c r="E132" s="162"/>
    </row>
    <row r="133" spans="1:5" ht="60">
      <c r="B133" s="1" t="s">
        <v>13</v>
      </c>
      <c r="E133" s="162"/>
    </row>
    <row r="134" spans="1:5">
      <c r="B134" s="1" t="s">
        <v>10</v>
      </c>
      <c r="E134" s="162"/>
    </row>
    <row r="135" spans="1:5">
      <c r="B135" s="1" t="s">
        <v>414</v>
      </c>
      <c r="C135" s="29" t="s">
        <v>9</v>
      </c>
      <c r="D135" s="40">
        <f>(5.63+4.34+10.36+4.74)*(0.55*0.2)</f>
        <v>2.7577000000000003</v>
      </c>
      <c r="E135" s="162"/>
    </row>
    <row r="136" spans="1:5">
      <c r="B136" s="1" t="s">
        <v>631</v>
      </c>
      <c r="C136" s="29" t="s">
        <v>11</v>
      </c>
      <c r="D136" s="40">
        <f>(5.63+4.34+10.36+4.74)*(0.55+0.2*2)</f>
        <v>23.816500000000001</v>
      </c>
      <c r="E136" s="162"/>
    </row>
    <row r="137" spans="1:5">
      <c r="E137" s="162"/>
    </row>
    <row r="138" spans="1:5" ht="45">
      <c r="A138" s="17">
        <f>COUNT($A$4:A137)+1</f>
        <v>16</v>
      </c>
      <c r="B138" s="1" t="s">
        <v>1540</v>
      </c>
      <c r="E138" s="162"/>
    </row>
    <row r="139" spans="1:5" ht="30">
      <c r="B139" s="1" t="s">
        <v>12</v>
      </c>
      <c r="E139" s="162"/>
    </row>
    <row r="140" spans="1:5" ht="60">
      <c r="B140" s="1" t="s">
        <v>13</v>
      </c>
      <c r="E140" s="162"/>
    </row>
    <row r="141" spans="1:5">
      <c r="B141" s="1" t="s">
        <v>10</v>
      </c>
      <c r="E141" s="162"/>
    </row>
    <row r="142" spans="1:5">
      <c r="B142" s="1" t="s">
        <v>414</v>
      </c>
      <c r="C142" s="29" t="s">
        <v>9</v>
      </c>
      <c r="D142" s="40">
        <f>(7.17*2+37.95+2.26+34.46+50.57+3.22)*0.12*0.68</f>
        <v>11.652480000000001</v>
      </c>
      <c r="E142" s="162"/>
    </row>
    <row r="143" spans="1:5">
      <c r="B143" s="1" t="s">
        <v>631</v>
      </c>
      <c r="C143" s="29" t="s">
        <v>11</v>
      </c>
      <c r="D143" s="40">
        <f>(7.17*2+37.95+2.26+34.46+50.57+3.22)*(0.68+0.12)</f>
        <v>114.24000000000001</v>
      </c>
      <c r="E143" s="162"/>
    </row>
    <row r="144" spans="1:5">
      <c r="E144" s="162"/>
    </row>
    <row r="145" spans="1:9" ht="45">
      <c r="A145" s="17">
        <f>COUNT($A$4:A144)+1</f>
        <v>17</v>
      </c>
      <c r="B145" s="1" t="s">
        <v>423</v>
      </c>
      <c r="E145" s="162"/>
    </row>
    <row r="146" spans="1:9" ht="30">
      <c r="B146" s="1" t="s">
        <v>15</v>
      </c>
      <c r="E146" s="162"/>
    </row>
    <row r="147" spans="1:9">
      <c r="B147" s="1" t="s">
        <v>10</v>
      </c>
      <c r="E147" s="162"/>
    </row>
    <row r="148" spans="1:9">
      <c r="B148" s="1" t="s">
        <v>424</v>
      </c>
      <c r="C148" s="29" t="s">
        <v>9</v>
      </c>
      <c r="D148" s="40">
        <v>10</v>
      </c>
      <c r="E148" s="162"/>
    </row>
    <row r="149" spans="1:9">
      <c r="B149" s="1" t="s">
        <v>425</v>
      </c>
      <c r="C149" s="29" t="s">
        <v>11</v>
      </c>
      <c r="D149" s="40">
        <v>50</v>
      </c>
      <c r="E149" s="162"/>
    </row>
    <row r="150" spans="1:9">
      <c r="E150" s="162"/>
    </row>
    <row r="151" spans="1:9" ht="120">
      <c r="A151" s="17">
        <f>COUNT($A$4:A150)+1</f>
        <v>18</v>
      </c>
      <c r="B151" s="1" t="s">
        <v>1543</v>
      </c>
      <c r="E151" s="162"/>
    </row>
    <row r="152" spans="1:9" ht="30">
      <c r="B152" s="1" t="s">
        <v>427</v>
      </c>
      <c r="E152" s="162"/>
    </row>
    <row r="153" spans="1:9">
      <c r="B153" s="1" t="s">
        <v>677</v>
      </c>
      <c r="C153" s="29" t="s">
        <v>9</v>
      </c>
      <c r="D153" s="40">
        <v>2</v>
      </c>
      <c r="E153" s="162"/>
    </row>
    <row r="154" spans="1:9">
      <c r="B154" s="1" t="s">
        <v>428</v>
      </c>
      <c r="C154" s="29" t="s">
        <v>9</v>
      </c>
      <c r="D154" s="40">
        <v>2</v>
      </c>
      <c r="E154" s="162"/>
    </row>
    <row r="155" spans="1:9">
      <c r="B155" s="1" t="s">
        <v>429</v>
      </c>
      <c r="C155" s="29" t="s">
        <v>9</v>
      </c>
      <c r="D155" s="40">
        <v>2</v>
      </c>
      <c r="E155" s="162"/>
    </row>
    <row r="156" spans="1:9">
      <c r="E156" s="162"/>
    </row>
    <row r="157" spans="1:9" ht="30">
      <c r="A157" s="17">
        <f>COUNT($A$4:A156)+1</f>
        <v>19</v>
      </c>
      <c r="B157" s="1" t="s">
        <v>1545</v>
      </c>
      <c r="E157" s="162"/>
      <c r="I157" s="3"/>
    </row>
    <row r="158" spans="1:9" ht="30">
      <c r="B158" s="1" t="s">
        <v>1544</v>
      </c>
      <c r="E158" s="162"/>
    </row>
    <row r="159" spans="1:9" ht="30">
      <c r="B159" s="1" t="s">
        <v>180</v>
      </c>
      <c r="E159" s="162"/>
    </row>
    <row r="160" spans="1:9" ht="30">
      <c r="B160" s="1" t="s">
        <v>181</v>
      </c>
      <c r="E160" s="162"/>
    </row>
    <row r="161" spans="1:9">
      <c r="B161" s="1" t="s">
        <v>182</v>
      </c>
      <c r="E161" s="162"/>
    </row>
    <row r="162" spans="1:9" ht="30">
      <c r="B162" s="1" t="s">
        <v>430</v>
      </c>
      <c r="E162" s="162"/>
    </row>
    <row r="163" spans="1:9">
      <c r="B163" s="1" t="s">
        <v>183</v>
      </c>
      <c r="C163" s="29" t="s">
        <v>9</v>
      </c>
      <c r="D163" s="40">
        <f>(2.6*6.13)*0.1*1.1</f>
        <v>1.7531800000000002</v>
      </c>
      <c r="E163" s="162"/>
    </row>
    <row r="164" spans="1:9">
      <c r="E164" s="162"/>
    </row>
    <row r="165" spans="1:9" ht="30">
      <c r="A165" s="17">
        <f>COUNT($A$4:A164)+1</f>
        <v>20</v>
      </c>
      <c r="B165" s="25" t="s">
        <v>1546</v>
      </c>
      <c r="E165" s="162"/>
      <c r="I165" s="3"/>
    </row>
    <row r="166" spans="1:9" ht="91.5">
      <c r="B166" s="1" t="s">
        <v>3378</v>
      </c>
      <c r="E166" s="162"/>
    </row>
    <row r="167" spans="1:9">
      <c r="B167" s="1" t="s">
        <v>1547</v>
      </c>
      <c r="E167" s="162"/>
    </row>
    <row r="168" spans="1:9">
      <c r="B168" s="1" t="s">
        <v>1582</v>
      </c>
      <c r="C168" s="29" t="s">
        <v>130</v>
      </c>
      <c r="D168" s="2">
        <f>(8.5*3+1.58+3.15+8.32+6.78+6.12+3.49+0.6+(14.16+8.96)*2)*2.5*0.3*1.1</f>
        <v>83.968500000000006</v>
      </c>
      <c r="E168" s="162"/>
    </row>
    <row r="169" spans="1:9">
      <c r="B169" s="1" t="s">
        <v>1580</v>
      </c>
      <c r="C169" s="29" t="s">
        <v>130</v>
      </c>
      <c r="D169" s="40">
        <f>D168</f>
        <v>83.968500000000006</v>
      </c>
      <c r="E169" s="162"/>
    </row>
    <row r="170" spans="1:9">
      <c r="A170" s="33"/>
      <c r="B170" s="1" t="s">
        <v>1581</v>
      </c>
      <c r="C170" s="29" t="s">
        <v>21</v>
      </c>
      <c r="D170" s="105">
        <f>(((8.5*3+1.58+3.15+8.32+6.78+6.12+3.49+0.6+(14.16+8.96)*2)/0.4)*0.5*1.58)*1.1</f>
        <v>221.11705000000003</v>
      </c>
      <c r="E170" s="165"/>
    </row>
    <row r="171" spans="1:9">
      <c r="A171" s="33"/>
      <c r="C171" s="31"/>
      <c r="D171" s="105"/>
      <c r="E171" s="165"/>
    </row>
    <row r="172" spans="1:9" ht="30">
      <c r="A172" s="17">
        <f>COUNT($A$4:A171)+1</f>
        <v>21</v>
      </c>
      <c r="B172" s="25" t="s">
        <v>1548</v>
      </c>
      <c r="E172" s="162"/>
      <c r="I172" s="3"/>
    </row>
    <row r="173" spans="1:9" ht="180">
      <c r="B173" s="1" t="s">
        <v>1549</v>
      </c>
      <c r="E173" s="162"/>
    </row>
    <row r="174" spans="1:9">
      <c r="B174" s="1" t="s">
        <v>1550</v>
      </c>
      <c r="E174" s="162"/>
    </row>
    <row r="175" spans="1:9">
      <c r="B175" s="1" t="s">
        <v>1551</v>
      </c>
      <c r="C175" s="29" t="s">
        <v>11</v>
      </c>
      <c r="D175" s="40">
        <f>(1.88*1.5+3.15*1.5+8.32*0.5+6.12*0.5+14.15*3+3.7)*1.1</f>
        <v>67.006500000000017</v>
      </c>
      <c r="E175" s="162"/>
    </row>
    <row r="176" spans="1:9">
      <c r="A176" s="33"/>
      <c r="B176" s="1" t="s">
        <v>1552</v>
      </c>
      <c r="C176" s="29" t="s">
        <v>11</v>
      </c>
      <c r="D176" s="40">
        <f>(1.88*1.5+3.15*1.5+8.32*0.5+6.12*0.5+14.15*3+3.7)*1.1</f>
        <v>67.006500000000017</v>
      </c>
      <c r="E176" s="162"/>
    </row>
    <row r="177" spans="1:6">
      <c r="A177" s="33"/>
      <c r="C177" s="31"/>
      <c r="D177" s="105"/>
      <c r="E177" s="165"/>
    </row>
    <row r="178" spans="1:6">
      <c r="A178" s="33"/>
      <c r="C178" s="31"/>
      <c r="D178" s="105"/>
      <c r="E178" s="165"/>
    </row>
    <row r="179" spans="1:6">
      <c r="A179" s="33"/>
      <c r="C179" s="31"/>
      <c r="D179" s="105">
        <f>SUM(D175*0.4+D148+D142+D135+D127+D120+D119+D112+D105+D89+D88+D80+D71+D66+D60+D53+D49+D97)</f>
        <v>1453.3085890000004</v>
      </c>
      <c r="E179" s="165"/>
    </row>
    <row r="180" spans="1:6">
      <c r="E180" s="162"/>
    </row>
    <row r="181" spans="1:6">
      <c r="E181" s="162"/>
    </row>
    <row r="182" spans="1:6">
      <c r="A182" s="172" t="s">
        <v>0</v>
      </c>
      <c r="B182" s="173" t="s">
        <v>1</v>
      </c>
      <c r="C182" s="174"/>
      <c r="D182" s="175"/>
      <c r="E182" s="176"/>
      <c r="F182" s="177"/>
    </row>
    <row r="183" spans="1:6">
      <c r="E183" s="162"/>
    </row>
    <row r="184" spans="1:6">
      <c r="E184" s="162"/>
    </row>
    <row r="185" spans="1:6">
      <c r="E185" s="162"/>
    </row>
    <row r="186" spans="1:6">
      <c r="E186" s="162"/>
    </row>
    <row r="187" spans="1:6">
      <c r="E187" s="162"/>
    </row>
    <row r="188" spans="1:6">
      <c r="E188" s="162"/>
    </row>
    <row r="189" spans="1:6">
      <c r="E189" s="162"/>
    </row>
    <row r="190" spans="1:6">
      <c r="E190" s="162"/>
    </row>
    <row r="191" spans="1:6">
      <c r="E191" s="162"/>
    </row>
    <row r="192" spans="1:6">
      <c r="E192" s="162"/>
    </row>
    <row r="193" spans="3:5">
      <c r="E193" s="162"/>
    </row>
    <row r="194" spans="3:5">
      <c r="E194" s="162"/>
    </row>
    <row r="195" spans="3:5">
      <c r="E195" s="162"/>
    </row>
    <row r="196" spans="3:5">
      <c r="E196" s="162"/>
    </row>
    <row r="197" spans="3:5">
      <c r="E197" s="162"/>
    </row>
    <row r="198" spans="3:5">
      <c r="E198" s="162"/>
    </row>
    <row r="199" spans="3:5">
      <c r="E199" s="162"/>
    </row>
    <row r="200" spans="3:5">
      <c r="E200" s="162"/>
    </row>
    <row r="201" spans="3:5">
      <c r="C201" s="548"/>
      <c r="E201" s="162"/>
    </row>
    <row r="202" spans="3:5">
      <c r="C202" s="548"/>
      <c r="E202" s="162"/>
    </row>
    <row r="203" spans="3:5">
      <c r="E203" s="162"/>
    </row>
    <row r="204" spans="3:5">
      <c r="E204" s="162"/>
    </row>
    <row r="205" spans="3:5">
      <c r="E205" s="162"/>
    </row>
    <row r="206" spans="3:5">
      <c r="E206" s="162"/>
    </row>
    <row r="207" spans="3:5">
      <c r="E207" s="162"/>
    </row>
    <row r="208" spans="3:5">
      <c r="E208" s="162"/>
    </row>
    <row r="209" spans="1:6">
      <c r="E209" s="162"/>
    </row>
    <row r="210" spans="1:6">
      <c r="E210" s="162"/>
    </row>
    <row r="211" spans="1:6">
      <c r="E211" s="162"/>
    </row>
    <row r="212" spans="1:6">
      <c r="E212" s="162"/>
    </row>
    <row r="213" spans="1:6">
      <c r="E213" s="162"/>
    </row>
    <row r="214" spans="1:6">
      <c r="E214" s="162"/>
    </row>
    <row r="215" spans="1:6">
      <c r="E215" s="162"/>
    </row>
    <row r="216" spans="1:6">
      <c r="E216" s="162"/>
    </row>
    <row r="217" spans="1:6">
      <c r="E217" s="162"/>
    </row>
    <row r="218" spans="1:6">
      <c r="E218" s="162"/>
    </row>
    <row r="219" spans="1:6">
      <c r="E219" s="162"/>
    </row>
    <row r="220" spans="1:6">
      <c r="E220" s="162"/>
    </row>
    <row r="221" spans="1:6">
      <c r="E221" s="162"/>
    </row>
    <row r="222" spans="1:6" s="55" customFormat="1">
      <c r="A222" s="17"/>
      <c r="B222" s="1"/>
      <c r="C222" s="29"/>
      <c r="D222" s="40"/>
      <c r="E222" s="162"/>
      <c r="F222" s="163"/>
    </row>
    <row r="223" spans="1:6" s="55" customFormat="1">
      <c r="A223" s="17"/>
      <c r="B223" s="1"/>
      <c r="C223" s="29"/>
      <c r="D223" s="40"/>
      <c r="E223" s="162"/>
      <c r="F223" s="163"/>
    </row>
    <row r="224" spans="1:6" s="55" customFormat="1">
      <c r="A224" s="17"/>
      <c r="B224" s="1"/>
      <c r="C224" s="29"/>
      <c r="D224" s="40"/>
      <c r="E224" s="162"/>
      <c r="F224" s="163"/>
    </row>
    <row r="225" spans="1:6" s="55" customFormat="1">
      <c r="A225" s="17"/>
      <c r="B225" s="1"/>
      <c r="C225" s="29"/>
      <c r="D225" s="40"/>
      <c r="E225" s="162"/>
      <c r="F225" s="163"/>
    </row>
    <row r="226" spans="1:6" s="55" customFormat="1">
      <c r="A226" s="17"/>
      <c r="B226" s="1"/>
      <c r="C226" s="29"/>
      <c r="D226" s="40"/>
      <c r="E226" s="162"/>
      <c r="F226" s="163"/>
    </row>
    <row r="227" spans="1:6" s="55" customFormat="1">
      <c r="A227" s="17"/>
      <c r="B227" s="1"/>
      <c r="C227" s="29"/>
      <c r="D227" s="40"/>
      <c r="E227" s="162"/>
      <c r="F227" s="163"/>
    </row>
    <row r="228" spans="1:6" s="55" customFormat="1">
      <c r="A228" s="17"/>
      <c r="B228" s="1"/>
      <c r="C228" s="29"/>
      <c r="D228" s="40"/>
      <c r="E228" s="162"/>
      <c r="F228" s="163"/>
    </row>
    <row r="229" spans="1:6" s="55" customFormat="1">
      <c r="A229" s="17"/>
      <c r="B229" s="1"/>
      <c r="C229" s="29"/>
      <c r="D229" s="40"/>
      <c r="E229" s="162"/>
      <c r="F229" s="163"/>
    </row>
    <row r="230" spans="1:6" s="55" customFormat="1">
      <c r="A230" s="17"/>
      <c r="B230" s="1"/>
      <c r="C230" s="29"/>
      <c r="D230" s="40"/>
      <c r="E230" s="162"/>
      <c r="F230" s="163"/>
    </row>
    <row r="231" spans="1:6" s="55" customFormat="1">
      <c r="A231" s="17"/>
      <c r="B231" s="1"/>
      <c r="C231" s="29"/>
      <c r="D231" s="40"/>
      <c r="E231" s="162"/>
      <c r="F231" s="163"/>
    </row>
    <row r="232" spans="1:6" s="55" customFormat="1">
      <c r="A232" s="17"/>
      <c r="B232" s="1"/>
      <c r="C232" s="29"/>
      <c r="D232" s="40"/>
      <c r="E232" s="162"/>
      <c r="F232" s="163"/>
    </row>
    <row r="233" spans="1:6" s="55" customFormat="1">
      <c r="A233" s="17"/>
      <c r="B233" s="1"/>
      <c r="C233" s="29"/>
      <c r="D233" s="40"/>
      <c r="E233" s="162"/>
      <c r="F233" s="163"/>
    </row>
    <row r="234" spans="1:6" s="55" customFormat="1">
      <c r="A234" s="17"/>
      <c r="B234" s="1"/>
      <c r="C234" s="29"/>
      <c r="D234" s="40"/>
      <c r="E234" s="162"/>
      <c r="F234" s="163"/>
    </row>
    <row r="235" spans="1:6" s="55" customFormat="1">
      <c r="A235" s="17"/>
      <c r="B235" s="1"/>
      <c r="C235" s="29"/>
      <c r="D235" s="40"/>
      <c r="E235" s="162"/>
      <c r="F235" s="163"/>
    </row>
    <row r="236" spans="1:6" s="55" customFormat="1">
      <c r="A236" s="17"/>
      <c r="B236" s="1"/>
      <c r="C236" s="29"/>
      <c r="D236" s="40"/>
      <c r="E236" s="162"/>
      <c r="F236" s="163"/>
    </row>
    <row r="237" spans="1:6" s="55" customFormat="1">
      <c r="A237" s="17"/>
      <c r="B237" s="1"/>
      <c r="C237" s="29"/>
      <c r="D237" s="40"/>
      <c r="E237" s="162"/>
      <c r="F237" s="163"/>
    </row>
    <row r="238" spans="1:6" s="55" customFormat="1">
      <c r="A238" s="17"/>
      <c r="B238" s="1"/>
      <c r="C238" s="29"/>
      <c r="D238" s="40"/>
      <c r="E238" s="162"/>
      <c r="F238" s="163"/>
    </row>
    <row r="239" spans="1:6" s="55" customFormat="1">
      <c r="A239" s="17"/>
      <c r="B239" s="1"/>
      <c r="C239" s="29"/>
      <c r="D239" s="40"/>
      <c r="E239" s="162"/>
      <c r="F239" s="163"/>
    </row>
    <row r="240" spans="1:6" s="55" customFormat="1">
      <c r="A240" s="17"/>
      <c r="B240" s="1"/>
      <c r="C240" s="29"/>
      <c r="D240" s="40"/>
      <c r="E240" s="162"/>
      <c r="F240" s="163"/>
    </row>
    <row r="241" spans="1:6" s="55" customFormat="1">
      <c r="A241" s="17"/>
      <c r="B241" s="1"/>
      <c r="C241" s="29"/>
      <c r="D241" s="40"/>
      <c r="E241" s="162"/>
      <c r="F241" s="163"/>
    </row>
    <row r="242" spans="1:6" s="55" customFormat="1">
      <c r="A242" s="17"/>
      <c r="B242" s="1"/>
      <c r="C242" s="29"/>
      <c r="D242" s="40"/>
      <c r="E242" s="162"/>
      <c r="F242" s="163"/>
    </row>
    <row r="243" spans="1:6" s="55" customFormat="1">
      <c r="A243" s="17"/>
      <c r="B243" s="1"/>
      <c r="C243" s="29"/>
      <c r="D243" s="40"/>
      <c r="E243" s="162"/>
      <c r="F243" s="163"/>
    </row>
    <row r="244" spans="1:6" s="55" customFormat="1">
      <c r="A244" s="17"/>
      <c r="B244" s="1"/>
      <c r="C244" s="29"/>
      <c r="D244" s="40"/>
      <c r="E244" s="162"/>
      <c r="F244" s="163"/>
    </row>
    <row r="245" spans="1:6" s="55" customFormat="1">
      <c r="A245" s="17"/>
      <c r="B245" s="1"/>
      <c r="C245" s="29"/>
      <c r="D245" s="40"/>
      <c r="E245" s="162"/>
      <c r="F245" s="163"/>
    </row>
    <row r="246" spans="1:6" s="55" customFormat="1">
      <c r="A246" s="17"/>
      <c r="B246" s="1"/>
      <c r="C246" s="29"/>
      <c r="D246" s="40"/>
      <c r="E246" s="162"/>
      <c r="F246" s="163"/>
    </row>
    <row r="247" spans="1:6" s="55" customFormat="1">
      <c r="A247" s="17"/>
      <c r="B247" s="1"/>
      <c r="C247" s="29"/>
      <c r="D247" s="40"/>
      <c r="E247" s="162"/>
      <c r="F247" s="163"/>
    </row>
    <row r="248" spans="1:6" s="55" customFormat="1">
      <c r="A248" s="17"/>
      <c r="B248" s="1"/>
      <c r="C248" s="29"/>
      <c r="D248" s="40"/>
      <c r="E248" s="162"/>
      <c r="F248" s="163"/>
    </row>
    <row r="249" spans="1:6" s="55" customFormat="1">
      <c r="A249" s="17"/>
      <c r="B249" s="1"/>
      <c r="C249" s="29"/>
      <c r="D249" s="40"/>
      <c r="E249" s="162"/>
      <c r="F249" s="163"/>
    </row>
    <row r="250" spans="1:6" s="55" customFormat="1">
      <c r="A250" s="17"/>
      <c r="B250" s="1"/>
      <c r="C250" s="29"/>
      <c r="D250" s="40"/>
      <c r="E250" s="162"/>
      <c r="F250" s="163"/>
    </row>
    <row r="251" spans="1:6" s="55" customFormat="1">
      <c r="A251" s="17"/>
      <c r="B251" s="1"/>
      <c r="C251" s="29"/>
      <c r="D251" s="40"/>
      <c r="E251" s="162"/>
      <c r="F251" s="163"/>
    </row>
    <row r="252" spans="1:6" s="55" customFormat="1">
      <c r="A252" s="17"/>
      <c r="B252" s="1"/>
      <c r="C252" s="29"/>
      <c r="D252" s="40"/>
      <c r="E252" s="162"/>
      <c r="F252" s="163"/>
    </row>
    <row r="253" spans="1:6" s="55" customFormat="1">
      <c r="A253" s="17"/>
      <c r="B253" s="1"/>
      <c r="C253" s="29"/>
      <c r="D253" s="40"/>
      <c r="E253" s="162"/>
      <c r="F253" s="163"/>
    </row>
    <row r="254" spans="1:6" s="55" customFormat="1">
      <c r="A254" s="17"/>
      <c r="B254" s="1"/>
      <c r="C254" s="29"/>
      <c r="D254" s="40"/>
      <c r="E254" s="162"/>
      <c r="F254" s="163"/>
    </row>
    <row r="255" spans="1:6" s="55" customFormat="1">
      <c r="A255" s="17"/>
      <c r="B255" s="1"/>
      <c r="C255" s="29"/>
      <c r="D255" s="40"/>
      <c r="E255" s="162"/>
      <c r="F255" s="163"/>
    </row>
    <row r="256" spans="1:6" s="55" customFormat="1">
      <c r="A256" s="17"/>
      <c r="B256" s="1"/>
      <c r="C256" s="29"/>
      <c r="D256" s="40"/>
      <c r="E256" s="162"/>
      <c r="F256" s="163"/>
    </row>
    <row r="257" spans="1:6" s="55" customFormat="1">
      <c r="A257" s="17"/>
      <c r="B257" s="1"/>
      <c r="C257" s="29"/>
      <c r="D257" s="40"/>
      <c r="E257" s="162"/>
      <c r="F257" s="163"/>
    </row>
    <row r="258" spans="1:6" s="55" customFormat="1">
      <c r="A258" s="17"/>
      <c r="B258" s="1"/>
      <c r="C258" s="29"/>
      <c r="D258" s="40"/>
      <c r="E258" s="162"/>
      <c r="F258" s="163"/>
    </row>
    <row r="259" spans="1:6" s="55" customFormat="1">
      <c r="A259" s="17"/>
      <c r="B259" s="1"/>
      <c r="C259" s="29"/>
      <c r="D259" s="40"/>
      <c r="E259" s="162"/>
      <c r="F259" s="163"/>
    </row>
    <row r="260" spans="1:6" s="55" customFormat="1">
      <c r="A260" s="17"/>
      <c r="B260" s="1"/>
      <c r="C260" s="29"/>
      <c r="D260" s="40"/>
      <c r="E260" s="162"/>
      <c r="F260" s="163"/>
    </row>
    <row r="261" spans="1:6" s="55" customFormat="1">
      <c r="A261" s="17"/>
      <c r="B261" s="1"/>
      <c r="C261" s="29"/>
      <c r="D261" s="40"/>
      <c r="E261" s="162"/>
      <c r="F261" s="163"/>
    </row>
    <row r="262" spans="1:6" s="55" customFormat="1">
      <c r="A262" s="17"/>
      <c r="B262" s="1"/>
      <c r="C262" s="29"/>
      <c r="D262" s="40"/>
      <c r="E262" s="162"/>
      <c r="F262" s="163"/>
    </row>
    <row r="263" spans="1:6" s="55" customFormat="1">
      <c r="A263" s="17"/>
      <c r="B263" s="1"/>
      <c r="C263" s="29"/>
      <c r="D263" s="40"/>
      <c r="E263" s="162"/>
      <c r="F263" s="163"/>
    </row>
    <row r="264" spans="1:6" s="55" customFormat="1">
      <c r="A264" s="17"/>
      <c r="B264" s="1"/>
      <c r="C264" s="29"/>
      <c r="D264" s="40"/>
      <c r="E264" s="162"/>
      <c r="F264" s="163"/>
    </row>
    <row r="265" spans="1:6" s="55" customFormat="1">
      <c r="A265" s="17"/>
      <c r="B265" s="1"/>
      <c r="C265" s="29"/>
      <c r="D265" s="40"/>
      <c r="E265" s="162"/>
      <c r="F265" s="163"/>
    </row>
    <row r="266" spans="1:6" s="55" customFormat="1">
      <c r="A266" s="17"/>
      <c r="B266" s="1"/>
      <c r="C266" s="29"/>
      <c r="D266" s="40"/>
      <c r="E266" s="162"/>
      <c r="F266" s="163"/>
    </row>
    <row r="267" spans="1:6" s="55" customFormat="1">
      <c r="A267" s="17"/>
      <c r="B267" s="1"/>
      <c r="C267" s="29"/>
      <c r="D267" s="40"/>
      <c r="E267" s="162"/>
      <c r="F267" s="163"/>
    </row>
    <row r="268" spans="1:6" s="55" customFormat="1">
      <c r="A268" s="17"/>
      <c r="B268" s="1"/>
      <c r="C268" s="29"/>
      <c r="D268" s="40"/>
      <c r="E268" s="162"/>
      <c r="F268" s="163"/>
    </row>
    <row r="269" spans="1:6" s="55" customFormat="1">
      <c r="A269" s="17"/>
      <c r="B269" s="1"/>
      <c r="C269" s="29"/>
      <c r="D269" s="40"/>
      <c r="E269" s="162"/>
      <c r="F269" s="163"/>
    </row>
    <row r="270" spans="1:6" s="55" customFormat="1">
      <c r="A270" s="17"/>
      <c r="B270" s="1"/>
      <c r="C270" s="29"/>
      <c r="D270" s="40"/>
      <c r="E270" s="162"/>
      <c r="F270" s="163"/>
    </row>
    <row r="271" spans="1:6" s="55" customFormat="1">
      <c r="A271" s="17"/>
      <c r="B271" s="1"/>
      <c r="C271" s="29"/>
      <c r="D271" s="40"/>
      <c r="E271" s="162"/>
      <c r="F271" s="163"/>
    </row>
    <row r="272" spans="1:6" s="55" customFormat="1">
      <c r="A272" s="17"/>
      <c r="B272" s="1"/>
      <c r="C272" s="29"/>
      <c r="D272" s="40"/>
      <c r="E272" s="162"/>
      <c r="F272" s="163"/>
    </row>
    <row r="273" spans="1:6" s="55" customFormat="1">
      <c r="A273" s="17"/>
      <c r="B273" s="1"/>
      <c r="C273" s="29"/>
      <c r="D273" s="40"/>
      <c r="E273" s="162"/>
      <c r="F273" s="163"/>
    </row>
    <row r="274" spans="1:6" s="55" customFormat="1">
      <c r="A274" s="17"/>
      <c r="B274" s="1"/>
      <c r="C274" s="29"/>
      <c r="D274" s="40"/>
      <c r="E274" s="162"/>
      <c r="F274" s="163"/>
    </row>
    <row r="275" spans="1:6" s="55" customFormat="1">
      <c r="A275" s="17"/>
      <c r="B275" s="1"/>
      <c r="C275" s="29"/>
      <c r="D275" s="40"/>
      <c r="E275" s="162"/>
      <c r="F275" s="163"/>
    </row>
    <row r="276" spans="1:6" s="55" customFormat="1">
      <c r="A276" s="17"/>
      <c r="B276" s="1"/>
      <c r="C276" s="29"/>
      <c r="D276" s="40"/>
      <c r="E276" s="162"/>
      <c r="F276" s="163"/>
    </row>
    <row r="277" spans="1:6" s="55" customFormat="1">
      <c r="A277" s="17"/>
      <c r="B277" s="1"/>
      <c r="C277" s="29"/>
      <c r="D277" s="40"/>
      <c r="E277" s="162"/>
      <c r="F277" s="163"/>
    </row>
    <row r="278" spans="1:6" s="55" customFormat="1">
      <c r="A278" s="17"/>
      <c r="B278" s="1"/>
      <c r="C278" s="29"/>
      <c r="D278" s="40"/>
      <c r="E278" s="162"/>
      <c r="F278" s="163"/>
    </row>
    <row r="279" spans="1:6" s="55" customFormat="1">
      <c r="A279" s="17"/>
      <c r="B279" s="1"/>
      <c r="C279" s="29"/>
      <c r="D279" s="40"/>
      <c r="E279" s="162"/>
      <c r="F279" s="163"/>
    </row>
    <row r="280" spans="1:6" s="55" customFormat="1">
      <c r="A280" s="17"/>
      <c r="B280" s="1"/>
      <c r="C280" s="29"/>
      <c r="D280" s="40"/>
      <c r="E280" s="162"/>
      <c r="F280" s="163"/>
    </row>
    <row r="281" spans="1:6" s="55" customFormat="1">
      <c r="A281" s="17"/>
      <c r="B281" s="1"/>
      <c r="C281" s="29"/>
      <c r="D281" s="40"/>
      <c r="E281" s="162"/>
      <c r="F281" s="163"/>
    </row>
    <row r="282" spans="1:6" s="55" customFormat="1">
      <c r="A282" s="17"/>
      <c r="B282" s="1"/>
      <c r="C282" s="29"/>
      <c r="D282" s="40"/>
      <c r="E282" s="162"/>
      <c r="F282" s="163"/>
    </row>
    <row r="283" spans="1:6" s="55" customFormat="1">
      <c r="A283" s="17"/>
      <c r="B283" s="1"/>
      <c r="C283" s="29"/>
      <c r="D283" s="40"/>
      <c r="E283" s="162"/>
      <c r="F283" s="163"/>
    </row>
    <row r="284" spans="1:6" s="55" customFormat="1">
      <c r="A284" s="17"/>
      <c r="B284" s="1"/>
      <c r="C284" s="29"/>
      <c r="D284" s="40"/>
      <c r="E284" s="162"/>
      <c r="F284" s="163"/>
    </row>
    <row r="285" spans="1:6" s="55" customFormat="1">
      <c r="A285" s="17"/>
      <c r="B285" s="1"/>
      <c r="C285" s="29"/>
      <c r="D285" s="40"/>
      <c r="E285" s="162"/>
      <c r="F285" s="163"/>
    </row>
    <row r="286" spans="1:6" s="55" customFormat="1">
      <c r="A286" s="17"/>
      <c r="B286" s="1"/>
      <c r="C286" s="29"/>
      <c r="D286" s="40"/>
      <c r="E286" s="162"/>
      <c r="F286" s="163"/>
    </row>
    <row r="287" spans="1:6" s="55" customFormat="1">
      <c r="A287" s="17"/>
      <c r="B287" s="1"/>
      <c r="C287" s="29"/>
      <c r="D287" s="40"/>
      <c r="E287" s="162"/>
      <c r="F287" s="163"/>
    </row>
    <row r="288" spans="1:6" s="55" customFormat="1">
      <c r="A288" s="17"/>
      <c r="B288" s="1"/>
      <c r="C288" s="29"/>
      <c r="D288" s="40"/>
      <c r="E288" s="162"/>
      <c r="F288" s="163"/>
    </row>
    <row r="289" spans="1:6" s="55" customFormat="1">
      <c r="A289" s="17"/>
      <c r="B289" s="1"/>
      <c r="C289" s="29"/>
      <c r="D289" s="40"/>
      <c r="E289" s="162"/>
      <c r="F289" s="163"/>
    </row>
    <row r="290" spans="1:6" s="55" customFormat="1">
      <c r="A290" s="17"/>
      <c r="B290" s="1"/>
      <c r="C290" s="29"/>
      <c r="D290" s="40"/>
      <c r="E290" s="162"/>
      <c r="F290" s="163"/>
    </row>
    <row r="291" spans="1:6" s="55" customFormat="1">
      <c r="A291" s="17"/>
      <c r="B291" s="1"/>
      <c r="C291" s="29"/>
      <c r="D291" s="40"/>
      <c r="E291" s="162"/>
      <c r="F291" s="163"/>
    </row>
    <row r="292" spans="1:6" s="55" customFormat="1">
      <c r="A292" s="17"/>
      <c r="B292" s="1"/>
      <c r="C292" s="29"/>
      <c r="D292" s="40"/>
      <c r="E292" s="162"/>
      <c r="F292" s="163"/>
    </row>
    <row r="293" spans="1:6" s="55" customFormat="1">
      <c r="A293" s="17"/>
      <c r="B293" s="1"/>
      <c r="C293" s="29"/>
      <c r="D293" s="40"/>
      <c r="E293" s="162"/>
      <c r="F293" s="163"/>
    </row>
    <row r="294" spans="1:6" s="55" customFormat="1">
      <c r="A294" s="17"/>
      <c r="B294" s="1"/>
      <c r="C294" s="29"/>
      <c r="D294" s="40"/>
      <c r="E294" s="162"/>
      <c r="F294" s="163"/>
    </row>
    <row r="295" spans="1:6" s="55" customFormat="1">
      <c r="A295" s="17"/>
      <c r="B295" s="1"/>
      <c r="C295" s="29"/>
      <c r="D295" s="40"/>
      <c r="E295" s="162"/>
      <c r="F295" s="163"/>
    </row>
    <row r="296" spans="1:6" s="55" customFormat="1">
      <c r="A296" s="17"/>
      <c r="B296" s="1"/>
      <c r="C296" s="29"/>
      <c r="D296" s="40"/>
      <c r="E296" s="162"/>
      <c r="F296" s="163"/>
    </row>
    <row r="297" spans="1:6" s="55" customFormat="1">
      <c r="A297" s="17"/>
      <c r="B297" s="1"/>
      <c r="C297" s="29"/>
      <c r="D297" s="40"/>
      <c r="E297" s="162"/>
      <c r="F297" s="163"/>
    </row>
    <row r="298" spans="1:6" s="55" customFormat="1">
      <c r="A298" s="17"/>
      <c r="B298" s="1"/>
      <c r="C298" s="29"/>
      <c r="D298" s="40"/>
      <c r="E298" s="162"/>
      <c r="F298" s="163"/>
    </row>
    <row r="299" spans="1:6" s="55" customFormat="1">
      <c r="A299" s="17"/>
      <c r="B299" s="1"/>
      <c r="C299" s="29"/>
      <c r="D299" s="40"/>
      <c r="E299" s="162"/>
      <c r="F299" s="163"/>
    </row>
    <row r="300" spans="1:6" s="55" customFormat="1">
      <c r="A300" s="17"/>
      <c r="B300" s="1"/>
      <c r="C300" s="29"/>
      <c r="D300" s="40"/>
      <c r="E300" s="162"/>
      <c r="F300" s="163"/>
    </row>
    <row r="301" spans="1:6" s="55" customFormat="1">
      <c r="A301" s="17"/>
      <c r="B301" s="1"/>
      <c r="C301" s="29"/>
      <c r="D301" s="40"/>
      <c r="E301" s="162"/>
      <c r="F301" s="163"/>
    </row>
    <row r="302" spans="1:6" s="55" customFormat="1">
      <c r="A302" s="17"/>
      <c r="B302" s="1"/>
      <c r="C302" s="29"/>
      <c r="D302" s="40"/>
      <c r="E302" s="162"/>
      <c r="F302" s="163"/>
    </row>
    <row r="303" spans="1:6" s="55" customFormat="1">
      <c r="A303" s="17"/>
      <c r="B303" s="1"/>
      <c r="C303" s="29"/>
      <c r="D303" s="40"/>
      <c r="E303" s="162"/>
      <c r="F303" s="163"/>
    </row>
    <row r="304" spans="1:6" s="55" customFormat="1">
      <c r="A304" s="17"/>
      <c r="B304" s="1"/>
      <c r="C304" s="29"/>
      <c r="D304" s="40"/>
      <c r="E304" s="162"/>
      <c r="F304" s="163"/>
    </row>
    <row r="305" spans="1:6" s="55" customFormat="1">
      <c r="A305" s="17"/>
      <c r="B305" s="1"/>
      <c r="C305" s="29"/>
      <c r="D305" s="40"/>
      <c r="E305" s="162"/>
      <c r="F305" s="163"/>
    </row>
    <row r="306" spans="1:6" s="55" customFormat="1">
      <c r="A306" s="17"/>
      <c r="B306" s="1"/>
      <c r="C306" s="29"/>
      <c r="D306" s="40"/>
      <c r="E306" s="162"/>
      <c r="F306" s="163"/>
    </row>
    <row r="307" spans="1:6" s="55" customFormat="1">
      <c r="A307" s="17"/>
      <c r="B307" s="1"/>
      <c r="C307" s="29"/>
      <c r="D307" s="40"/>
      <c r="E307" s="162"/>
      <c r="F307" s="163"/>
    </row>
    <row r="308" spans="1:6" s="55" customFormat="1">
      <c r="A308" s="17"/>
      <c r="B308" s="1"/>
      <c r="C308" s="29"/>
      <c r="D308" s="40"/>
      <c r="E308" s="162"/>
      <c r="F308" s="163"/>
    </row>
    <row r="309" spans="1:6" s="55" customFormat="1">
      <c r="A309" s="17"/>
      <c r="B309" s="1"/>
      <c r="C309" s="29"/>
      <c r="D309" s="40"/>
      <c r="E309" s="162"/>
      <c r="F309" s="163"/>
    </row>
    <row r="310" spans="1:6" s="55" customFormat="1">
      <c r="A310" s="17"/>
      <c r="B310" s="1"/>
      <c r="C310" s="29"/>
      <c r="D310" s="40"/>
      <c r="E310" s="162"/>
      <c r="F310" s="163"/>
    </row>
    <row r="311" spans="1:6" s="55" customFormat="1">
      <c r="A311" s="17"/>
      <c r="B311" s="1"/>
      <c r="C311" s="29"/>
      <c r="D311" s="40"/>
      <c r="E311" s="162"/>
      <c r="F311" s="163"/>
    </row>
    <row r="312" spans="1:6" s="55" customFormat="1">
      <c r="A312" s="17"/>
      <c r="B312" s="1"/>
      <c r="C312" s="29"/>
      <c r="D312" s="40"/>
      <c r="E312" s="162"/>
      <c r="F312" s="163"/>
    </row>
    <row r="313" spans="1:6" s="55" customFormat="1">
      <c r="A313" s="17"/>
      <c r="B313" s="1"/>
      <c r="C313" s="29"/>
      <c r="D313" s="40"/>
      <c r="E313" s="162"/>
      <c r="F313" s="163"/>
    </row>
    <row r="314" spans="1:6" s="55" customFormat="1">
      <c r="A314" s="17"/>
      <c r="B314" s="1"/>
      <c r="C314" s="29"/>
      <c r="D314" s="40"/>
      <c r="E314" s="162"/>
      <c r="F314" s="163"/>
    </row>
    <row r="315" spans="1:6" s="55" customFormat="1">
      <c r="A315" s="17"/>
      <c r="B315" s="1"/>
      <c r="C315" s="29"/>
      <c r="D315" s="40"/>
      <c r="E315" s="162"/>
      <c r="F315" s="163"/>
    </row>
    <row r="316" spans="1:6" s="55" customFormat="1">
      <c r="A316" s="17"/>
      <c r="B316" s="1"/>
      <c r="C316" s="29"/>
      <c r="D316" s="40"/>
      <c r="E316" s="162"/>
      <c r="F316" s="163"/>
    </row>
    <row r="317" spans="1:6" s="55" customFormat="1">
      <c r="A317" s="17"/>
      <c r="B317" s="1"/>
      <c r="C317" s="29"/>
      <c r="D317" s="40"/>
      <c r="E317" s="162"/>
      <c r="F317" s="163"/>
    </row>
    <row r="318" spans="1:6" s="55" customFormat="1">
      <c r="A318" s="17"/>
      <c r="B318" s="1"/>
      <c r="C318" s="29"/>
      <c r="D318" s="40"/>
      <c r="E318" s="162"/>
      <c r="F318" s="163"/>
    </row>
    <row r="319" spans="1:6" s="55" customFormat="1">
      <c r="A319" s="17"/>
      <c r="B319" s="1"/>
      <c r="C319" s="29"/>
      <c r="D319" s="40"/>
      <c r="E319" s="162"/>
      <c r="F319" s="163"/>
    </row>
    <row r="320" spans="1:6" s="55" customFormat="1">
      <c r="A320" s="17"/>
      <c r="B320" s="1"/>
      <c r="C320" s="29"/>
      <c r="D320" s="40"/>
      <c r="E320" s="162"/>
      <c r="F320" s="163"/>
    </row>
    <row r="321" spans="1:6" s="55" customFormat="1">
      <c r="A321" s="17"/>
      <c r="B321" s="1"/>
      <c r="C321" s="29"/>
      <c r="D321" s="40"/>
      <c r="E321" s="162"/>
      <c r="F321" s="163"/>
    </row>
    <row r="322" spans="1:6" s="55" customFormat="1">
      <c r="A322" s="17"/>
      <c r="B322" s="1"/>
      <c r="C322" s="29"/>
      <c r="D322" s="40"/>
      <c r="E322" s="162"/>
      <c r="F322" s="163"/>
    </row>
    <row r="323" spans="1:6" s="55" customFormat="1">
      <c r="A323" s="17"/>
      <c r="B323" s="1"/>
      <c r="C323" s="29"/>
      <c r="D323" s="40"/>
      <c r="E323" s="162"/>
      <c r="F323" s="163"/>
    </row>
    <row r="324" spans="1:6" s="55" customFormat="1">
      <c r="A324" s="17"/>
      <c r="B324" s="1"/>
      <c r="C324" s="29"/>
      <c r="D324" s="40"/>
      <c r="E324" s="162"/>
      <c r="F324" s="163"/>
    </row>
    <row r="325" spans="1:6" s="55" customFormat="1">
      <c r="A325" s="17"/>
      <c r="B325" s="1"/>
      <c r="C325" s="29"/>
      <c r="D325" s="40"/>
      <c r="E325" s="162"/>
      <c r="F325" s="163"/>
    </row>
    <row r="326" spans="1:6" s="55" customFormat="1">
      <c r="A326" s="17"/>
      <c r="B326" s="1"/>
      <c r="C326" s="29"/>
      <c r="D326" s="40"/>
      <c r="E326" s="162"/>
      <c r="F326" s="163"/>
    </row>
    <row r="327" spans="1:6" s="55" customFormat="1">
      <c r="A327" s="17"/>
      <c r="B327" s="1"/>
      <c r="C327" s="29"/>
      <c r="D327" s="40"/>
      <c r="E327" s="162"/>
      <c r="F327" s="163"/>
    </row>
    <row r="328" spans="1:6" s="55" customFormat="1">
      <c r="A328" s="17"/>
      <c r="B328" s="1"/>
      <c r="C328" s="29"/>
      <c r="D328" s="40"/>
      <c r="E328" s="162"/>
      <c r="F328" s="163"/>
    </row>
    <row r="329" spans="1:6" s="55" customFormat="1">
      <c r="A329" s="17"/>
      <c r="B329" s="1"/>
      <c r="C329" s="29"/>
      <c r="D329" s="40"/>
      <c r="E329" s="162"/>
      <c r="F329" s="163"/>
    </row>
    <row r="330" spans="1:6" s="55" customFormat="1">
      <c r="A330" s="17"/>
      <c r="B330" s="1"/>
      <c r="C330" s="29"/>
      <c r="D330" s="40"/>
      <c r="E330" s="162"/>
      <c r="F330" s="163"/>
    </row>
    <row r="331" spans="1:6" s="55" customFormat="1">
      <c r="A331" s="17"/>
      <c r="B331" s="1"/>
      <c r="C331" s="29"/>
      <c r="D331" s="40"/>
      <c r="E331" s="162"/>
      <c r="F331" s="163"/>
    </row>
    <row r="332" spans="1:6" s="55" customFormat="1">
      <c r="A332" s="17"/>
      <c r="B332" s="1"/>
      <c r="C332" s="29"/>
      <c r="D332" s="40"/>
      <c r="E332" s="162"/>
      <c r="F332" s="163"/>
    </row>
    <row r="333" spans="1:6" s="55" customFormat="1">
      <c r="A333" s="17"/>
      <c r="B333" s="1"/>
      <c r="C333" s="29"/>
      <c r="D333" s="40"/>
      <c r="E333" s="162"/>
      <c r="F333" s="163"/>
    </row>
    <row r="334" spans="1:6" s="55" customFormat="1">
      <c r="A334" s="17"/>
      <c r="B334" s="1"/>
      <c r="C334" s="29"/>
      <c r="D334" s="40"/>
      <c r="E334" s="162"/>
      <c r="F334" s="163"/>
    </row>
    <row r="335" spans="1:6" s="55" customFormat="1">
      <c r="A335" s="17"/>
      <c r="B335" s="1"/>
      <c r="C335" s="29"/>
      <c r="D335" s="40"/>
      <c r="E335" s="162"/>
      <c r="F335" s="163"/>
    </row>
    <row r="336" spans="1:6" s="55" customFormat="1">
      <c r="A336" s="17"/>
      <c r="B336" s="1"/>
      <c r="C336" s="29"/>
      <c r="D336" s="40"/>
      <c r="E336" s="162"/>
      <c r="F336" s="163"/>
    </row>
    <row r="337" spans="1:6" s="55" customFormat="1">
      <c r="A337" s="17"/>
      <c r="B337" s="1"/>
      <c r="C337" s="29"/>
      <c r="D337" s="40"/>
      <c r="E337" s="162"/>
      <c r="F337" s="163"/>
    </row>
    <row r="338" spans="1:6" s="55" customFormat="1">
      <c r="A338" s="17"/>
      <c r="B338" s="1"/>
      <c r="C338" s="29"/>
      <c r="D338" s="40"/>
      <c r="E338" s="162"/>
      <c r="F338" s="163"/>
    </row>
    <row r="339" spans="1:6" s="55" customFormat="1">
      <c r="A339" s="17"/>
      <c r="B339" s="1"/>
      <c r="C339" s="29"/>
      <c r="D339" s="40"/>
      <c r="E339" s="162"/>
      <c r="F339" s="163"/>
    </row>
    <row r="340" spans="1:6" s="55" customFormat="1">
      <c r="A340" s="17"/>
      <c r="B340" s="1"/>
      <c r="C340" s="29"/>
      <c r="D340" s="40"/>
      <c r="E340" s="162"/>
      <c r="F340" s="163"/>
    </row>
    <row r="341" spans="1:6" s="55" customFormat="1">
      <c r="A341" s="17"/>
      <c r="B341" s="1"/>
      <c r="C341" s="29"/>
      <c r="D341" s="40"/>
      <c r="E341" s="162"/>
      <c r="F341" s="163"/>
    </row>
    <row r="342" spans="1:6" s="55" customFormat="1">
      <c r="A342" s="17"/>
      <c r="B342" s="1"/>
      <c r="C342" s="29"/>
      <c r="D342" s="40"/>
      <c r="E342" s="162"/>
      <c r="F342" s="163"/>
    </row>
    <row r="343" spans="1:6" s="55" customFormat="1">
      <c r="A343" s="17"/>
      <c r="B343" s="1"/>
      <c r="C343" s="29"/>
      <c r="D343" s="40"/>
      <c r="E343" s="162"/>
      <c r="F343" s="163"/>
    </row>
    <row r="344" spans="1:6" s="55" customFormat="1">
      <c r="A344" s="17"/>
      <c r="B344" s="1"/>
      <c r="C344" s="29"/>
      <c r="D344" s="40"/>
      <c r="E344" s="162"/>
      <c r="F344" s="163"/>
    </row>
    <row r="345" spans="1:6" s="55" customFormat="1">
      <c r="A345" s="17"/>
      <c r="B345" s="1"/>
      <c r="C345" s="29"/>
      <c r="D345" s="40"/>
      <c r="E345" s="162"/>
      <c r="F345" s="163"/>
    </row>
    <row r="346" spans="1:6" s="55" customFormat="1">
      <c r="A346" s="17"/>
      <c r="B346" s="1"/>
      <c r="C346" s="29"/>
      <c r="D346" s="40"/>
      <c r="E346" s="162"/>
      <c r="F346" s="163"/>
    </row>
    <row r="347" spans="1:6" s="55" customFormat="1">
      <c r="A347" s="17"/>
      <c r="B347" s="1"/>
      <c r="C347" s="29"/>
      <c r="D347" s="40"/>
      <c r="E347" s="162"/>
      <c r="F347" s="163"/>
    </row>
    <row r="348" spans="1:6" s="55" customFormat="1">
      <c r="A348" s="17"/>
      <c r="B348" s="1"/>
      <c r="C348" s="29"/>
      <c r="D348" s="40"/>
      <c r="E348" s="162"/>
      <c r="F348" s="163"/>
    </row>
    <row r="349" spans="1:6" s="55" customFormat="1">
      <c r="A349" s="17"/>
      <c r="B349" s="1"/>
      <c r="C349" s="29"/>
      <c r="D349" s="40"/>
      <c r="E349" s="162"/>
      <c r="F349" s="163"/>
    </row>
    <row r="350" spans="1:6" s="55" customFormat="1">
      <c r="A350" s="17"/>
      <c r="B350" s="1"/>
      <c r="C350" s="29"/>
      <c r="D350" s="40"/>
      <c r="E350" s="162"/>
      <c r="F350" s="163"/>
    </row>
    <row r="351" spans="1:6" s="55" customFormat="1">
      <c r="A351" s="17"/>
      <c r="B351" s="1"/>
      <c r="C351" s="29"/>
      <c r="D351" s="40"/>
      <c r="E351" s="162"/>
      <c r="F351" s="163"/>
    </row>
    <row r="352" spans="1:6" s="55" customFormat="1">
      <c r="A352" s="17"/>
      <c r="B352" s="1"/>
      <c r="C352" s="29"/>
      <c r="D352" s="40"/>
      <c r="E352" s="162"/>
      <c r="F352" s="163"/>
    </row>
    <row r="353" spans="1:6" s="55" customFormat="1">
      <c r="A353" s="17"/>
      <c r="B353" s="1"/>
      <c r="C353" s="29"/>
      <c r="D353" s="40"/>
      <c r="E353" s="162"/>
      <c r="F353" s="163"/>
    </row>
    <row r="354" spans="1:6" s="55" customFormat="1">
      <c r="A354" s="17"/>
      <c r="B354" s="1"/>
      <c r="C354" s="29"/>
      <c r="D354" s="40"/>
      <c r="E354" s="162"/>
      <c r="F354" s="163"/>
    </row>
    <row r="355" spans="1:6" s="55" customFormat="1">
      <c r="A355" s="17"/>
      <c r="B355" s="1"/>
      <c r="C355" s="29"/>
      <c r="D355" s="40"/>
      <c r="E355" s="162"/>
      <c r="F355" s="163"/>
    </row>
    <row r="356" spans="1:6" s="55" customFormat="1">
      <c r="A356" s="17"/>
      <c r="B356" s="1"/>
      <c r="C356" s="29"/>
      <c r="D356" s="40"/>
      <c r="E356" s="162"/>
      <c r="F356" s="163"/>
    </row>
    <row r="357" spans="1:6" s="55" customFormat="1">
      <c r="A357" s="17"/>
      <c r="B357" s="1"/>
      <c r="C357" s="29"/>
      <c r="D357" s="40"/>
      <c r="E357" s="162"/>
      <c r="F357" s="163"/>
    </row>
    <row r="358" spans="1:6" s="55" customFormat="1">
      <c r="A358" s="17"/>
      <c r="B358" s="1"/>
      <c r="C358" s="29"/>
      <c r="D358" s="40"/>
      <c r="E358" s="162"/>
      <c r="F358" s="163"/>
    </row>
    <row r="359" spans="1:6" s="55" customFormat="1">
      <c r="A359" s="17"/>
      <c r="B359" s="1"/>
      <c r="C359" s="29"/>
      <c r="D359" s="40"/>
      <c r="E359" s="162"/>
      <c r="F359" s="163"/>
    </row>
    <row r="360" spans="1:6" s="55" customFormat="1">
      <c r="A360" s="17"/>
      <c r="B360" s="1"/>
      <c r="C360" s="29"/>
      <c r="D360" s="40"/>
      <c r="E360" s="162"/>
      <c r="F360" s="163"/>
    </row>
    <row r="361" spans="1:6" s="55" customFormat="1">
      <c r="A361" s="17"/>
      <c r="B361" s="1"/>
      <c r="C361" s="29"/>
      <c r="D361" s="40"/>
      <c r="E361" s="162"/>
      <c r="F361" s="163"/>
    </row>
    <row r="362" spans="1:6" s="55" customFormat="1">
      <c r="A362" s="17"/>
      <c r="B362" s="1"/>
      <c r="C362" s="29"/>
      <c r="D362" s="40"/>
      <c r="E362" s="162"/>
      <c r="F362" s="163"/>
    </row>
    <row r="363" spans="1:6" s="55" customFormat="1">
      <c r="A363" s="17"/>
      <c r="B363" s="1"/>
      <c r="C363" s="29"/>
      <c r="D363" s="40"/>
      <c r="E363" s="162"/>
      <c r="F363" s="163"/>
    </row>
    <row r="364" spans="1:6" s="55" customFormat="1">
      <c r="A364" s="17"/>
      <c r="B364" s="1"/>
      <c r="C364" s="29"/>
      <c r="D364" s="40"/>
      <c r="E364" s="162"/>
      <c r="F364" s="163"/>
    </row>
    <row r="365" spans="1:6" s="55" customFormat="1">
      <c r="A365" s="17"/>
      <c r="B365" s="1"/>
      <c r="C365" s="29"/>
      <c r="D365" s="40"/>
      <c r="E365" s="162"/>
      <c r="F365" s="163"/>
    </row>
    <row r="366" spans="1:6" s="55" customFormat="1">
      <c r="A366" s="17"/>
      <c r="B366" s="1"/>
      <c r="C366" s="29"/>
      <c r="D366" s="40"/>
      <c r="E366" s="162"/>
      <c r="F366" s="163"/>
    </row>
    <row r="367" spans="1:6" s="55" customFormat="1">
      <c r="A367" s="17"/>
      <c r="B367" s="1"/>
      <c r="C367" s="29"/>
      <c r="D367" s="40"/>
      <c r="E367" s="162"/>
      <c r="F367" s="163"/>
    </row>
    <row r="368" spans="1:6" s="55" customFormat="1">
      <c r="A368" s="17"/>
      <c r="B368" s="1"/>
      <c r="C368" s="29"/>
      <c r="D368" s="40"/>
      <c r="E368" s="162"/>
      <c r="F368" s="163"/>
    </row>
    <row r="369" spans="1:6" s="55" customFormat="1">
      <c r="A369" s="17"/>
      <c r="B369" s="1"/>
      <c r="C369" s="29"/>
      <c r="D369" s="40"/>
      <c r="E369" s="162"/>
      <c r="F369" s="163"/>
    </row>
    <row r="370" spans="1:6" s="55" customFormat="1">
      <c r="A370" s="17"/>
      <c r="B370" s="1"/>
      <c r="C370" s="29"/>
      <c r="D370" s="40"/>
      <c r="E370" s="162"/>
      <c r="F370" s="163"/>
    </row>
    <row r="371" spans="1:6" s="55" customFormat="1">
      <c r="A371" s="17"/>
      <c r="B371" s="1"/>
      <c r="C371" s="29"/>
      <c r="D371" s="40"/>
      <c r="E371" s="162"/>
      <c r="F371" s="163"/>
    </row>
    <row r="372" spans="1:6" s="55" customFormat="1">
      <c r="A372" s="17"/>
      <c r="B372" s="1"/>
      <c r="C372" s="29"/>
      <c r="D372" s="40"/>
      <c r="E372" s="162"/>
      <c r="F372" s="163"/>
    </row>
    <row r="373" spans="1:6" s="55" customFormat="1">
      <c r="A373" s="17"/>
      <c r="B373" s="1"/>
      <c r="C373" s="29"/>
      <c r="D373" s="40"/>
      <c r="E373" s="162"/>
      <c r="F373" s="163"/>
    </row>
    <row r="374" spans="1:6" s="55" customFormat="1">
      <c r="A374" s="17"/>
      <c r="B374" s="1"/>
      <c r="C374" s="29"/>
      <c r="D374" s="40"/>
      <c r="E374" s="162"/>
      <c r="F374" s="163"/>
    </row>
    <row r="375" spans="1:6" s="55" customFormat="1">
      <c r="A375" s="17"/>
      <c r="B375" s="1"/>
      <c r="C375" s="29"/>
      <c r="D375" s="40"/>
      <c r="E375" s="162"/>
      <c r="F375" s="163"/>
    </row>
    <row r="376" spans="1:6" s="55" customFormat="1">
      <c r="A376" s="17"/>
      <c r="B376" s="1"/>
      <c r="C376" s="29"/>
      <c r="D376" s="40"/>
      <c r="E376" s="162"/>
      <c r="F376" s="163"/>
    </row>
    <row r="377" spans="1:6" s="55" customFormat="1">
      <c r="A377" s="17"/>
      <c r="B377" s="1"/>
      <c r="C377" s="29"/>
      <c r="D377" s="40"/>
      <c r="E377" s="162"/>
      <c r="F377" s="163"/>
    </row>
    <row r="378" spans="1:6" s="55" customFormat="1">
      <c r="A378" s="17"/>
      <c r="B378" s="1"/>
      <c r="C378" s="29"/>
      <c r="D378" s="40"/>
      <c r="E378" s="162"/>
      <c r="F378" s="163"/>
    </row>
    <row r="379" spans="1:6" s="55" customFormat="1">
      <c r="A379" s="17"/>
      <c r="B379" s="1"/>
      <c r="C379" s="29"/>
      <c r="D379" s="40"/>
      <c r="E379" s="162"/>
      <c r="F379" s="163"/>
    </row>
    <row r="380" spans="1:6" s="55" customFormat="1">
      <c r="A380" s="17"/>
      <c r="B380" s="1"/>
      <c r="C380" s="29"/>
      <c r="D380" s="40"/>
      <c r="E380" s="162"/>
      <c r="F380" s="163"/>
    </row>
    <row r="381" spans="1:6" s="55" customFormat="1">
      <c r="A381" s="17"/>
      <c r="B381" s="1"/>
      <c r="C381" s="29"/>
      <c r="D381" s="40"/>
      <c r="E381" s="162"/>
      <c r="F381" s="163"/>
    </row>
    <row r="382" spans="1:6" s="55" customFormat="1">
      <c r="A382" s="17"/>
      <c r="B382" s="1"/>
      <c r="C382" s="29"/>
      <c r="D382" s="40"/>
      <c r="E382" s="162"/>
      <c r="F382" s="163"/>
    </row>
    <row r="383" spans="1:6" s="55" customFormat="1">
      <c r="A383" s="17"/>
      <c r="B383" s="1"/>
      <c r="C383" s="29"/>
      <c r="D383" s="40"/>
      <c r="E383" s="162"/>
      <c r="F383" s="163"/>
    </row>
    <row r="384" spans="1:6" s="55" customFormat="1">
      <c r="A384" s="17"/>
      <c r="B384" s="1"/>
      <c r="C384" s="29"/>
      <c r="D384" s="40"/>
      <c r="E384" s="162"/>
      <c r="F384" s="163"/>
    </row>
    <row r="385" spans="1:6" s="55" customFormat="1">
      <c r="A385" s="17"/>
      <c r="B385" s="1"/>
      <c r="C385" s="29"/>
      <c r="D385" s="40"/>
      <c r="E385" s="162"/>
      <c r="F385" s="163"/>
    </row>
    <row r="386" spans="1:6" s="55" customFormat="1">
      <c r="A386" s="17"/>
      <c r="B386" s="1"/>
      <c r="C386" s="29"/>
      <c r="D386" s="40"/>
      <c r="E386" s="162"/>
      <c r="F386" s="163"/>
    </row>
    <row r="387" spans="1:6" s="55" customFormat="1">
      <c r="A387" s="17"/>
      <c r="B387" s="1"/>
      <c r="C387" s="29"/>
      <c r="D387" s="40"/>
      <c r="E387" s="162"/>
      <c r="F387" s="163"/>
    </row>
    <row r="388" spans="1:6" s="55" customFormat="1">
      <c r="A388" s="17"/>
      <c r="B388" s="1"/>
      <c r="C388" s="29"/>
      <c r="D388" s="40"/>
      <c r="E388" s="162"/>
      <c r="F388" s="163"/>
    </row>
    <row r="389" spans="1:6" s="55" customFormat="1">
      <c r="A389" s="17"/>
      <c r="B389" s="1"/>
      <c r="C389" s="29"/>
      <c r="D389" s="40"/>
      <c r="E389" s="162"/>
      <c r="F389" s="163"/>
    </row>
    <row r="390" spans="1:6" s="55" customFormat="1">
      <c r="A390" s="17"/>
      <c r="B390" s="1"/>
      <c r="C390" s="29"/>
      <c r="D390" s="40"/>
      <c r="E390" s="162"/>
      <c r="F390" s="163"/>
    </row>
    <row r="391" spans="1:6" s="55" customFormat="1">
      <c r="A391" s="17"/>
      <c r="B391" s="1"/>
      <c r="C391" s="29"/>
      <c r="D391" s="40"/>
      <c r="E391" s="162"/>
      <c r="F391" s="163"/>
    </row>
    <row r="392" spans="1:6" s="55" customFormat="1">
      <c r="A392" s="17"/>
      <c r="B392" s="1"/>
      <c r="C392" s="29"/>
      <c r="D392" s="40"/>
      <c r="E392" s="162"/>
      <c r="F392" s="163"/>
    </row>
    <row r="393" spans="1:6" s="55" customFormat="1">
      <c r="A393" s="17"/>
      <c r="B393" s="1"/>
      <c r="C393" s="29"/>
      <c r="D393" s="40"/>
      <c r="E393" s="162"/>
      <c r="F393" s="163"/>
    </row>
    <row r="394" spans="1:6" s="55" customFormat="1">
      <c r="A394" s="17"/>
      <c r="B394" s="1"/>
      <c r="C394" s="29"/>
      <c r="D394" s="40"/>
      <c r="E394" s="162"/>
      <c r="F394" s="163"/>
    </row>
    <row r="395" spans="1:6" s="55" customFormat="1">
      <c r="A395" s="17"/>
      <c r="B395" s="1"/>
      <c r="C395" s="29"/>
      <c r="D395" s="40"/>
      <c r="E395" s="162"/>
      <c r="F395" s="163"/>
    </row>
    <row r="396" spans="1:6" s="55" customFormat="1">
      <c r="A396" s="17"/>
      <c r="B396" s="1"/>
      <c r="C396" s="29"/>
      <c r="D396" s="40"/>
      <c r="E396" s="162"/>
      <c r="F396" s="163"/>
    </row>
    <row r="397" spans="1:6" s="55" customFormat="1">
      <c r="A397" s="17"/>
      <c r="B397" s="1"/>
      <c r="C397" s="29"/>
      <c r="D397" s="40"/>
      <c r="E397" s="162"/>
      <c r="F397" s="163"/>
    </row>
    <row r="398" spans="1:6" s="55" customFormat="1">
      <c r="A398" s="17"/>
      <c r="B398" s="1"/>
      <c r="C398" s="29"/>
      <c r="D398" s="40"/>
      <c r="E398" s="162"/>
      <c r="F398" s="163"/>
    </row>
    <row r="399" spans="1:6" s="55" customFormat="1">
      <c r="A399" s="17"/>
      <c r="B399" s="1"/>
      <c r="C399" s="29"/>
      <c r="D399" s="40"/>
      <c r="E399" s="162"/>
      <c r="F399" s="163"/>
    </row>
    <row r="400" spans="1:6" s="55" customFormat="1">
      <c r="A400" s="17"/>
      <c r="B400" s="1"/>
      <c r="C400" s="29"/>
      <c r="D400" s="40"/>
      <c r="E400" s="162"/>
      <c r="F400" s="163"/>
    </row>
    <row r="401" spans="1:6" s="55" customFormat="1">
      <c r="A401" s="17"/>
      <c r="B401" s="1"/>
      <c r="C401" s="29"/>
      <c r="D401" s="40"/>
      <c r="E401" s="162"/>
      <c r="F401" s="163"/>
    </row>
    <row r="402" spans="1:6" s="55" customFormat="1">
      <c r="A402" s="17"/>
      <c r="B402" s="1"/>
      <c r="C402" s="29"/>
      <c r="D402" s="40"/>
      <c r="E402" s="162"/>
      <c r="F402" s="163"/>
    </row>
    <row r="403" spans="1:6" s="55" customFormat="1">
      <c r="A403" s="17"/>
      <c r="B403" s="1"/>
      <c r="C403" s="29"/>
      <c r="D403" s="40"/>
      <c r="E403" s="162"/>
      <c r="F403" s="163"/>
    </row>
    <row r="404" spans="1:6" s="55" customFormat="1">
      <c r="A404" s="17"/>
      <c r="B404" s="1"/>
      <c r="C404" s="29"/>
      <c r="D404" s="40"/>
      <c r="E404" s="162"/>
      <c r="F404" s="163"/>
    </row>
    <row r="405" spans="1:6" s="55" customFormat="1">
      <c r="A405" s="17"/>
      <c r="B405" s="1"/>
      <c r="C405" s="29"/>
      <c r="D405" s="40"/>
      <c r="E405" s="162"/>
      <c r="F405" s="163"/>
    </row>
    <row r="406" spans="1:6" s="55" customFormat="1">
      <c r="A406" s="17"/>
      <c r="B406" s="1"/>
      <c r="C406" s="29"/>
      <c r="D406" s="40"/>
      <c r="E406" s="162"/>
      <c r="F406" s="163"/>
    </row>
    <row r="407" spans="1:6" s="55" customFormat="1">
      <c r="A407" s="17"/>
      <c r="B407" s="1"/>
      <c r="C407" s="29"/>
      <c r="D407" s="40"/>
      <c r="E407" s="162"/>
      <c r="F407" s="163"/>
    </row>
    <row r="408" spans="1:6" s="55" customFormat="1">
      <c r="A408" s="17"/>
      <c r="B408" s="1"/>
      <c r="C408" s="29"/>
      <c r="D408" s="40"/>
      <c r="E408" s="162"/>
      <c r="F408" s="163"/>
    </row>
    <row r="409" spans="1:6" s="55" customFormat="1">
      <c r="A409" s="17"/>
      <c r="B409" s="1"/>
      <c r="C409" s="29"/>
      <c r="D409" s="40"/>
      <c r="E409" s="162"/>
      <c r="F409" s="163"/>
    </row>
    <row r="410" spans="1:6" s="55" customFormat="1">
      <c r="A410" s="17"/>
      <c r="B410" s="1"/>
      <c r="C410" s="29"/>
      <c r="D410" s="40"/>
      <c r="E410" s="162"/>
      <c r="F410" s="163"/>
    </row>
    <row r="411" spans="1:6" s="55" customFormat="1">
      <c r="A411" s="17"/>
      <c r="B411" s="1"/>
      <c r="C411" s="29"/>
      <c r="D411" s="40"/>
      <c r="E411" s="162"/>
      <c r="F411" s="163"/>
    </row>
    <row r="412" spans="1:6" s="55" customFormat="1">
      <c r="A412" s="17"/>
      <c r="B412" s="1"/>
      <c r="C412" s="29"/>
      <c r="D412" s="40"/>
      <c r="E412" s="162"/>
      <c r="F412" s="163"/>
    </row>
    <row r="413" spans="1:6" s="55" customFormat="1">
      <c r="A413" s="17"/>
      <c r="B413" s="1"/>
      <c r="C413" s="29"/>
      <c r="D413" s="40"/>
      <c r="E413" s="162"/>
      <c r="F413" s="163"/>
    </row>
    <row r="414" spans="1:6" s="55" customFormat="1">
      <c r="A414" s="17"/>
      <c r="B414" s="1"/>
      <c r="C414" s="29"/>
      <c r="D414" s="40"/>
      <c r="E414" s="162"/>
      <c r="F414" s="163"/>
    </row>
    <row r="415" spans="1:6" s="55" customFormat="1">
      <c r="A415" s="17"/>
      <c r="B415" s="1"/>
      <c r="C415" s="29"/>
      <c r="D415" s="40"/>
      <c r="E415" s="162"/>
      <c r="F415" s="163"/>
    </row>
    <row r="416" spans="1:6" s="55" customFormat="1">
      <c r="A416" s="17"/>
      <c r="B416" s="1"/>
      <c r="C416" s="29"/>
      <c r="D416" s="40"/>
      <c r="E416" s="162"/>
      <c r="F416" s="163"/>
    </row>
    <row r="417" spans="1:6" s="55" customFormat="1">
      <c r="A417" s="17"/>
      <c r="B417" s="1"/>
      <c r="C417" s="29"/>
      <c r="D417" s="40"/>
      <c r="E417" s="162"/>
      <c r="F417" s="163"/>
    </row>
    <row r="418" spans="1:6" s="55" customFormat="1">
      <c r="A418" s="17"/>
      <c r="B418" s="1"/>
      <c r="C418" s="29"/>
      <c r="D418" s="40"/>
      <c r="E418" s="162"/>
      <c r="F418" s="163"/>
    </row>
    <row r="419" spans="1:6" s="55" customFormat="1">
      <c r="A419" s="17"/>
      <c r="B419" s="1"/>
      <c r="C419" s="29"/>
      <c r="D419" s="40"/>
      <c r="E419" s="162"/>
      <c r="F419" s="163"/>
    </row>
    <row r="420" spans="1:6" s="55" customFormat="1">
      <c r="A420" s="17"/>
      <c r="B420" s="1"/>
      <c r="C420" s="29"/>
      <c r="D420" s="40"/>
      <c r="E420" s="162"/>
      <c r="F420" s="163"/>
    </row>
    <row r="421" spans="1:6" s="55" customFormat="1">
      <c r="A421" s="17"/>
      <c r="B421" s="1"/>
      <c r="C421" s="29"/>
      <c r="D421" s="40"/>
      <c r="E421" s="162"/>
      <c r="F421" s="163"/>
    </row>
    <row r="422" spans="1:6" s="55" customFormat="1">
      <c r="A422" s="17"/>
      <c r="B422" s="1"/>
      <c r="C422" s="29"/>
      <c r="D422" s="40"/>
      <c r="E422" s="162"/>
      <c r="F422" s="163"/>
    </row>
    <row r="423" spans="1:6" s="55" customFormat="1">
      <c r="A423" s="17"/>
      <c r="B423" s="1"/>
      <c r="C423" s="29"/>
      <c r="D423" s="40"/>
      <c r="E423" s="162"/>
      <c r="F423" s="163"/>
    </row>
    <row r="424" spans="1:6" s="55" customFormat="1">
      <c r="A424" s="17"/>
      <c r="B424" s="1"/>
      <c r="C424" s="29"/>
      <c r="D424" s="40"/>
      <c r="E424" s="162"/>
      <c r="F424" s="163"/>
    </row>
    <row r="425" spans="1:6" s="55" customFormat="1">
      <c r="A425" s="17"/>
      <c r="B425" s="1"/>
      <c r="C425" s="29"/>
      <c r="D425" s="40"/>
      <c r="E425" s="162"/>
      <c r="F425" s="163"/>
    </row>
    <row r="426" spans="1:6" s="55" customFormat="1">
      <c r="A426" s="17"/>
      <c r="B426" s="1"/>
      <c r="C426" s="29"/>
      <c r="D426" s="40"/>
      <c r="E426" s="162"/>
      <c r="F426" s="163"/>
    </row>
    <row r="427" spans="1:6" s="55" customFormat="1">
      <c r="A427" s="17"/>
      <c r="B427" s="1"/>
      <c r="C427" s="29"/>
      <c r="D427" s="40"/>
      <c r="E427" s="162"/>
      <c r="F427" s="163"/>
    </row>
    <row r="428" spans="1:6" s="55" customFormat="1">
      <c r="A428" s="17"/>
      <c r="B428" s="1"/>
      <c r="C428" s="29"/>
      <c r="D428" s="40"/>
      <c r="E428" s="162"/>
      <c r="F428" s="163"/>
    </row>
    <row r="429" spans="1:6" s="55" customFormat="1">
      <c r="A429" s="17"/>
      <c r="B429" s="1"/>
      <c r="C429" s="29"/>
      <c r="D429" s="40"/>
      <c r="E429" s="162"/>
      <c r="F429" s="163"/>
    </row>
    <row r="430" spans="1:6" s="55" customFormat="1">
      <c r="A430" s="17"/>
      <c r="B430" s="1"/>
      <c r="C430" s="29"/>
      <c r="D430" s="40"/>
      <c r="E430" s="162"/>
      <c r="F430" s="163"/>
    </row>
    <row r="431" spans="1:6" s="55" customFormat="1">
      <c r="A431" s="17"/>
      <c r="B431" s="1"/>
      <c r="C431" s="29"/>
      <c r="D431" s="40"/>
      <c r="E431" s="162"/>
      <c r="F431" s="163"/>
    </row>
    <row r="432" spans="1:6" s="55" customFormat="1">
      <c r="A432" s="17"/>
      <c r="B432" s="1"/>
      <c r="C432" s="29"/>
      <c r="D432" s="40"/>
      <c r="E432" s="162"/>
      <c r="F432" s="163"/>
    </row>
    <row r="433" spans="1:6" s="55" customFormat="1">
      <c r="A433" s="17"/>
      <c r="B433" s="1"/>
      <c r="C433" s="29"/>
      <c r="D433" s="40"/>
      <c r="E433" s="162"/>
      <c r="F433" s="163"/>
    </row>
    <row r="434" spans="1:6" s="55" customFormat="1">
      <c r="A434" s="17"/>
      <c r="B434" s="1"/>
      <c r="C434" s="29"/>
      <c r="D434" s="40"/>
      <c r="E434" s="162"/>
      <c r="F434" s="163"/>
    </row>
    <row r="435" spans="1:6" s="55" customFormat="1">
      <c r="A435" s="17"/>
      <c r="B435" s="1"/>
      <c r="C435" s="29"/>
      <c r="D435" s="40"/>
      <c r="E435" s="162"/>
      <c r="F435" s="163"/>
    </row>
    <row r="436" spans="1:6" s="55" customFormat="1">
      <c r="A436" s="17"/>
      <c r="B436" s="1"/>
      <c r="C436" s="29"/>
      <c r="D436" s="40"/>
      <c r="E436" s="162"/>
      <c r="F436" s="163"/>
    </row>
    <row r="437" spans="1:6" s="55" customFormat="1">
      <c r="A437" s="17"/>
      <c r="B437" s="1"/>
      <c r="C437" s="29"/>
      <c r="D437" s="40"/>
      <c r="E437" s="162"/>
      <c r="F437" s="163"/>
    </row>
    <row r="438" spans="1:6" s="55" customFormat="1">
      <c r="A438" s="17"/>
      <c r="B438" s="1"/>
      <c r="C438" s="29"/>
      <c r="D438" s="40"/>
      <c r="E438" s="162"/>
      <c r="F438" s="163"/>
    </row>
    <row r="439" spans="1:6" s="55" customFormat="1">
      <c r="A439" s="17"/>
      <c r="B439" s="1"/>
      <c r="C439" s="29"/>
      <c r="D439" s="40"/>
      <c r="E439" s="162"/>
      <c r="F439" s="163"/>
    </row>
    <row r="440" spans="1:6" s="55" customFormat="1">
      <c r="A440" s="17"/>
      <c r="B440" s="1"/>
      <c r="C440" s="29"/>
      <c r="D440" s="40"/>
      <c r="E440" s="162"/>
      <c r="F440" s="163"/>
    </row>
    <row r="441" spans="1:6" s="55" customFormat="1">
      <c r="A441" s="17"/>
      <c r="B441" s="1"/>
      <c r="C441" s="29"/>
      <c r="D441" s="40"/>
      <c r="E441" s="162"/>
      <c r="F441" s="163"/>
    </row>
    <row r="442" spans="1:6" s="55" customFormat="1">
      <c r="A442" s="17"/>
      <c r="B442" s="1"/>
      <c r="C442" s="29"/>
      <c r="D442" s="40"/>
      <c r="E442" s="162"/>
      <c r="F442" s="163"/>
    </row>
    <row r="443" spans="1:6" s="55" customFormat="1">
      <c r="A443" s="17"/>
      <c r="B443" s="1"/>
      <c r="C443" s="29"/>
      <c r="D443" s="40"/>
      <c r="E443" s="162"/>
      <c r="F443" s="163"/>
    </row>
    <row r="444" spans="1:6" s="55" customFormat="1">
      <c r="A444" s="17"/>
      <c r="B444" s="1"/>
      <c r="C444" s="29"/>
      <c r="D444" s="40"/>
      <c r="E444" s="162"/>
      <c r="F444" s="163"/>
    </row>
    <row r="445" spans="1:6" s="55" customFormat="1">
      <c r="A445" s="17"/>
      <c r="B445" s="1"/>
      <c r="C445" s="29"/>
      <c r="D445" s="40"/>
      <c r="E445" s="162"/>
      <c r="F445" s="163"/>
    </row>
    <row r="446" spans="1:6" s="55" customFormat="1">
      <c r="A446" s="17"/>
      <c r="B446" s="1"/>
      <c r="C446" s="29"/>
      <c r="D446" s="40"/>
      <c r="E446" s="162"/>
      <c r="F446" s="163"/>
    </row>
    <row r="447" spans="1:6" s="55" customFormat="1">
      <c r="A447" s="17"/>
      <c r="B447" s="1"/>
      <c r="C447" s="29"/>
      <c r="D447" s="40"/>
      <c r="E447" s="162"/>
      <c r="F447" s="163"/>
    </row>
    <row r="448" spans="1:6" s="55" customFormat="1">
      <c r="A448" s="17"/>
      <c r="B448" s="1"/>
      <c r="C448" s="29"/>
      <c r="D448" s="40"/>
      <c r="E448" s="162"/>
      <c r="F448" s="163"/>
    </row>
    <row r="449" spans="1:6" s="55" customFormat="1">
      <c r="A449" s="17"/>
      <c r="B449" s="1"/>
      <c r="C449" s="29"/>
      <c r="D449" s="40"/>
      <c r="E449" s="162"/>
      <c r="F449" s="163"/>
    </row>
    <row r="450" spans="1:6" s="55" customFormat="1">
      <c r="A450" s="17"/>
      <c r="B450" s="1"/>
      <c r="C450" s="29"/>
      <c r="D450" s="40"/>
      <c r="E450" s="162"/>
      <c r="F450" s="163"/>
    </row>
    <row r="451" spans="1:6" s="55" customFormat="1">
      <c r="A451" s="17"/>
      <c r="B451" s="1"/>
      <c r="C451" s="29"/>
      <c r="D451" s="40"/>
      <c r="E451" s="162"/>
      <c r="F451" s="163"/>
    </row>
    <row r="452" spans="1:6" s="55" customFormat="1">
      <c r="A452" s="17"/>
      <c r="B452" s="1"/>
      <c r="C452" s="29"/>
      <c r="D452" s="40"/>
      <c r="E452" s="162"/>
      <c r="F452" s="163"/>
    </row>
    <row r="453" spans="1:6" s="55" customFormat="1">
      <c r="A453" s="17"/>
      <c r="B453" s="1"/>
      <c r="C453" s="29"/>
      <c r="D453" s="40"/>
      <c r="E453" s="162"/>
      <c r="F453" s="163"/>
    </row>
    <row r="454" spans="1:6" s="55" customFormat="1">
      <c r="A454" s="17"/>
      <c r="B454" s="1"/>
      <c r="C454" s="29"/>
      <c r="D454" s="40"/>
      <c r="E454" s="162"/>
      <c r="F454" s="163"/>
    </row>
    <row r="455" spans="1:6" s="55" customFormat="1">
      <c r="A455" s="17"/>
      <c r="B455" s="1"/>
      <c r="C455" s="29"/>
      <c r="D455" s="40"/>
      <c r="E455" s="162"/>
      <c r="F455" s="163"/>
    </row>
    <row r="456" spans="1:6" s="55" customFormat="1">
      <c r="A456" s="17"/>
      <c r="B456" s="1"/>
      <c r="C456" s="29"/>
      <c r="D456" s="40"/>
      <c r="E456" s="162"/>
      <c r="F456" s="163"/>
    </row>
    <row r="457" spans="1:6" s="55" customFormat="1">
      <c r="A457" s="17"/>
      <c r="B457" s="1"/>
      <c r="C457" s="29"/>
      <c r="D457" s="40"/>
      <c r="E457" s="162"/>
      <c r="F457" s="163"/>
    </row>
    <row r="458" spans="1:6" s="55" customFormat="1">
      <c r="A458" s="17"/>
      <c r="B458" s="1"/>
      <c r="C458" s="29"/>
      <c r="D458" s="40"/>
      <c r="E458" s="162"/>
      <c r="F458" s="163"/>
    </row>
    <row r="459" spans="1:6" s="55" customFormat="1">
      <c r="A459" s="17"/>
      <c r="B459" s="1"/>
      <c r="C459" s="29"/>
      <c r="D459" s="40"/>
      <c r="E459" s="162"/>
      <c r="F459" s="163"/>
    </row>
    <row r="460" spans="1:6" s="55" customFormat="1">
      <c r="A460" s="17"/>
      <c r="B460" s="1"/>
      <c r="C460" s="29"/>
      <c r="D460" s="40"/>
      <c r="E460" s="162"/>
      <c r="F460" s="163"/>
    </row>
    <row r="461" spans="1:6" s="55" customFormat="1">
      <c r="A461" s="17"/>
      <c r="B461" s="1"/>
      <c r="C461" s="29"/>
      <c r="D461" s="40"/>
      <c r="E461" s="162"/>
      <c r="F461" s="163"/>
    </row>
    <row r="462" spans="1:6" s="55" customFormat="1">
      <c r="A462" s="17"/>
      <c r="B462" s="1"/>
      <c r="C462" s="29"/>
      <c r="D462" s="40"/>
      <c r="E462" s="162"/>
      <c r="F462" s="163"/>
    </row>
    <row r="463" spans="1:6" s="55" customFormat="1">
      <c r="A463" s="17"/>
      <c r="B463" s="1"/>
      <c r="C463" s="29"/>
      <c r="D463" s="40"/>
      <c r="E463" s="162"/>
      <c r="F463" s="163"/>
    </row>
    <row r="464" spans="1:6" s="55" customFormat="1">
      <c r="A464" s="17"/>
      <c r="B464" s="1"/>
      <c r="C464" s="29"/>
      <c r="D464" s="40"/>
      <c r="E464" s="162"/>
      <c r="F464" s="163"/>
    </row>
    <row r="465" spans="1:6" s="55" customFormat="1">
      <c r="A465" s="17"/>
      <c r="B465" s="1"/>
      <c r="C465" s="29"/>
      <c r="D465" s="40"/>
      <c r="E465" s="162"/>
      <c r="F465" s="163"/>
    </row>
    <row r="466" spans="1:6" s="55" customFormat="1">
      <c r="A466" s="17"/>
      <c r="B466" s="1"/>
      <c r="C466" s="29"/>
      <c r="D466" s="40"/>
      <c r="E466" s="162"/>
      <c r="F466" s="163"/>
    </row>
    <row r="467" spans="1:6" s="55" customFormat="1">
      <c r="A467" s="17"/>
      <c r="B467" s="1"/>
      <c r="C467" s="29"/>
      <c r="D467" s="40"/>
      <c r="E467" s="162"/>
      <c r="F467" s="163"/>
    </row>
    <row r="468" spans="1:6" s="55" customFormat="1">
      <c r="A468" s="17"/>
      <c r="B468" s="1"/>
      <c r="C468" s="29"/>
      <c r="D468" s="40"/>
      <c r="E468" s="162"/>
      <c r="F468" s="163"/>
    </row>
    <row r="469" spans="1:6" s="55" customFormat="1">
      <c r="A469" s="17"/>
      <c r="B469" s="1"/>
      <c r="C469" s="29"/>
      <c r="D469" s="40"/>
      <c r="E469" s="162"/>
      <c r="F469" s="163"/>
    </row>
    <row r="470" spans="1:6" s="55" customFormat="1">
      <c r="A470" s="17"/>
      <c r="B470" s="1"/>
      <c r="C470" s="29"/>
      <c r="D470" s="40"/>
      <c r="E470" s="162"/>
      <c r="F470" s="163"/>
    </row>
    <row r="471" spans="1:6" s="55" customFormat="1">
      <c r="A471" s="17"/>
      <c r="B471" s="1"/>
      <c r="C471" s="29"/>
      <c r="D471" s="40"/>
      <c r="E471" s="162"/>
      <c r="F471" s="163"/>
    </row>
    <row r="472" spans="1:6" s="55" customFormat="1">
      <c r="A472" s="17"/>
      <c r="B472" s="1"/>
      <c r="C472" s="29"/>
      <c r="D472" s="40"/>
      <c r="E472" s="162"/>
      <c r="F472" s="163"/>
    </row>
    <row r="473" spans="1:6" s="55" customFormat="1">
      <c r="A473" s="17"/>
      <c r="B473" s="1"/>
      <c r="C473" s="29"/>
      <c r="D473" s="40"/>
      <c r="E473" s="162"/>
      <c r="F473" s="163"/>
    </row>
    <row r="474" spans="1:6" s="55" customFormat="1">
      <c r="A474" s="17"/>
      <c r="B474" s="1"/>
      <c r="C474" s="29"/>
      <c r="D474" s="40"/>
      <c r="E474" s="162"/>
      <c r="F474" s="163"/>
    </row>
    <row r="475" spans="1:6" s="55" customFormat="1">
      <c r="A475" s="17"/>
      <c r="B475" s="1"/>
      <c r="C475" s="29"/>
      <c r="D475" s="40"/>
      <c r="E475" s="162"/>
      <c r="F475" s="163"/>
    </row>
    <row r="476" spans="1:6" s="55" customFormat="1">
      <c r="A476" s="17"/>
      <c r="B476" s="1"/>
      <c r="C476" s="29"/>
      <c r="D476" s="40"/>
      <c r="E476" s="162"/>
      <c r="F476" s="163"/>
    </row>
    <row r="477" spans="1:6" s="55" customFormat="1">
      <c r="A477" s="17"/>
      <c r="B477" s="1"/>
      <c r="C477" s="29"/>
      <c r="D477" s="40"/>
      <c r="E477" s="162"/>
      <c r="F477" s="163"/>
    </row>
    <row r="478" spans="1:6" s="55" customFormat="1">
      <c r="A478" s="17"/>
      <c r="B478" s="1"/>
      <c r="C478" s="29"/>
      <c r="D478" s="40"/>
      <c r="E478" s="162"/>
      <c r="F478" s="163"/>
    </row>
    <row r="479" spans="1:6" s="55" customFormat="1">
      <c r="A479" s="17"/>
      <c r="B479" s="1"/>
      <c r="C479" s="29"/>
      <c r="D479" s="40"/>
      <c r="E479" s="162"/>
      <c r="F479" s="163"/>
    </row>
    <row r="480" spans="1:6" s="55" customFormat="1">
      <c r="A480" s="17"/>
      <c r="B480" s="1"/>
      <c r="C480" s="29"/>
      <c r="D480" s="40"/>
      <c r="E480" s="162"/>
      <c r="F480" s="163"/>
    </row>
    <row r="481" spans="1:6" s="55" customFormat="1">
      <c r="A481" s="17"/>
      <c r="B481" s="1"/>
      <c r="C481" s="29"/>
      <c r="D481" s="40"/>
      <c r="E481" s="162"/>
      <c r="F481" s="163"/>
    </row>
    <row r="482" spans="1:6" s="55" customFormat="1">
      <c r="A482" s="17"/>
      <c r="B482" s="1"/>
      <c r="C482" s="29"/>
      <c r="D482" s="40"/>
      <c r="E482" s="162"/>
      <c r="F482" s="163"/>
    </row>
    <row r="483" spans="1:6" s="55" customFormat="1">
      <c r="A483" s="17"/>
      <c r="B483" s="1"/>
      <c r="C483" s="29"/>
      <c r="D483" s="40"/>
      <c r="E483" s="162"/>
      <c r="F483" s="163"/>
    </row>
    <row r="484" spans="1:6" s="55" customFormat="1">
      <c r="A484" s="17"/>
      <c r="B484" s="1"/>
      <c r="C484" s="29"/>
      <c r="D484" s="40"/>
      <c r="E484" s="162"/>
      <c r="F484" s="163"/>
    </row>
    <row r="485" spans="1:6" s="55" customFormat="1">
      <c r="A485" s="17"/>
      <c r="B485" s="1"/>
      <c r="C485" s="29"/>
      <c r="D485" s="40"/>
      <c r="E485" s="162"/>
      <c r="F485" s="163"/>
    </row>
    <row r="486" spans="1:6" s="55" customFormat="1">
      <c r="A486" s="17"/>
      <c r="B486" s="1"/>
      <c r="C486" s="29"/>
      <c r="D486" s="40"/>
      <c r="E486" s="162"/>
      <c r="F486" s="163"/>
    </row>
    <row r="487" spans="1:6" s="55" customFormat="1">
      <c r="A487" s="17"/>
      <c r="B487" s="1"/>
      <c r="C487" s="29"/>
      <c r="D487" s="40"/>
      <c r="E487" s="162"/>
      <c r="F487" s="163"/>
    </row>
    <row r="488" spans="1:6" s="55" customFormat="1">
      <c r="A488" s="17"/>
      <c r="B488" s="1"/>
      <c r="C488" s="29"/>
      <c r="D488" s="40"/>
      <c r="E488" s="162"/>
      <c r="F488" s="163"/>
    </row>
    <row r="489" spans="1:6" s="55" customFormat="1">
      <c r="A489" s="17"/>
      <c r="B489" s="1"/>
      <c r="C489" s="29"/>
      <c r="D489" s="40"/>
      <c r="E489" s="162"/>
      <c r="F489" s="163"/>
    </row>
    <row r="490" spans="1:6" s="55" customFormat="1">
      <c r="A490" s="17"/>
      <c r="B490" s="1"/>
      <c r="C490" s="29"/>
      <c r="D490" s="40"/>
      <c r="E490" s="162"/>
      <c r="F490" s="163"/>
    </row>
    <row r="491" spans="1:6" s="55" customFormat="1">
      <c r="A491" s="17"/>
      <c r="B491" s="1"/>
      <c r="C491" s="29"/>
      <c r="D491" s="40"/>
      <c r="E491" s="162"/>
      <c r="F491" s="163"/>
    </row>
    <row r="492" spans="1:6" s="55" customFormat="1">
      <c r="A492" s="17"/>
      <c r="B492" s="1"/>
      <c r="C492" s="29"/>
      <c r="D492" s="40"/>
      <c r="E492" s="162"/>
      <c r="F492" s="163"/>
    </row>
    <row r="493" spans="1:6" s="55" customFormat="1">
      <c r="A493" s="17"/>
      <c r="B493" s="1"/>
      <c r="C493" s="29"/>
      <c r="D493" s="40"/>
      <c r="E493" s="162"/>
      <c r="F493" s="163"/>
    </row>
    <row r="494" spans="1:6" s="55" customFormat="1">
      <c r="A494" s="17"/>
      <c r="B494" s="1"/>
      <c r="C494" s="29"/>
      <c r="D494" s="40"/>
      <c r="E494" s="162"/>
      <c r="F494" s="163"/>
    </row>
    <row r="495" spans="1:6" s="55" customFormat="1">
      <c r="A495" s="17"/>
      <c r="B495" s="1"/>
      <c r="C495" s="29"/>
      <c r="D495" s="40"/>
      <c r="E495" s="162"/>
      <c r="F495" s="163"/>
    </row>
    <row r="496" spans="1:6" s="55" customFormat="1">
      <c r="A496" s="17"/>
      <c r="B496" s="1"/>
      <c r="C496" s="29"/>
      <c r="D496" s="40"/>
      <c r="E496" s="162"/>
      <c r="F496" s="163"/>
    </row>
    <row r="497" spans="1:6" s="55" customFormat="1">
      <c r="A497" s="17"/>
      <c r="B497" s="1"/>
      <c r="C497" s="29"/>
      <c r="D497" s="40"/>
      <c r="E497" s="162"/>
      <c r="F497" s="163"/>
    </row>
    <row r="498" spans="1:6" s="55" customFormat="1">
      <c r="A498" s="17"/>
      <c r="B498" s="1"/>
      <c r="C498" s="29"/>
      <c r="D498" s="40"/>
      <c r="E498" s="162"/>
      <c r="F498" s="163"/>
    </row>
    <row r="499" spans="1:6" s="55" customFormat="1">
      <c r="A499" s="17"/>
      <c r="B499" s="1"/>
      <c r="C499" s="29"/>
      <c r="D499" s="40"/>
      <c r="E499" s="162"/>
      <c r="F499" s="163"/>
    </row>
    <row r="500" spans="1:6" s="55" customFormat="1">
      <c r="A500" s="17"/>
      <c r="B500" s="1"/>
      <c r="C500" s="29"/>
      <c r="D500" s="40"/>
      <c r="E500" s="162"/>
      <c r="F500" s="163"/>
    </row>
    <row r="501" spans="1:6" s="55" customFormat="1">
      <c r="A501" s="17"/>
      <c r="B501" s="1"/>
      <c r="C501" s="29"/>
      <c r="D501" s="40"/>
      <c r="E501" s="162"/>
      <c r="F501" s="163"/>
    </row>
    <row r="502" spans="1:6" s="55" customFormat="1">
      <c r="A502" s="17"/>
      <c r="B502" s="1"/>
      <c r="C502" s="29"/>
      <c r="D502" s="40"/>
      <c r="E502" s="162"/>
      <c r="F502" s="163"/>
    </row>
    <row r="503" spans="1:6" s="55" customFormat="1">
      <c r="A503" s="17"/>
      <c r="B503" s="1"/>
      <c r="C503" s="29"/>
      <c r="D503" s="40"/>
      <c r="E503" s="162"/>
      <c r="F503" s="163"/>
    </row>
    <row r="504" spans="1:6" s="55" customFormat="1">
      <c r="A504" s="17"/>
      <c r="B504" s="1"/>
      <c r="C504" s="29"/>
      <c r="D504" s="40"/>
      <c r="E504" s="162"/>
      <c r="F504" s="163"/>
    </row>
    <row r="505" spans="1:6" s="55" customFormat="1">
      <c r="A505" s="17"/>
      <c r="B505" s="1"/>
      <c r="C505" s="29"/>
      <c r="D505" s="40"/>
      <c r="E505" s="162"/>
      <c r="F505" s="163"/>
    </row>
    <row r="506" spans="1:6" s="55" customFormat="1">
      <c r="A506" s="17"/>
      <c r="B506" s="1"/>
      <c r="C506" s="29"/>
      <c r="D506" s="40"/>
      <c r="E506" s="162"/>
      <c r="F506" s="163"/>
    </row>
    <row r="507" spans="1:6" s="55" customFormat="1">
      <c r="A507" s="17"/>
      <c r="B507" s="1"/>
      <c r="C507" s="29"/>
      <c r="D507" s="40"/>
      <c r="E507" s="162"/>
      <c r="F507" s="163"/>
    </row>
    <row r="508" spans="1:6" s="55" customFormat="1">
      <c r="A508" s="17"/>
      <c r="B508" s="1"/>
      <c r="C508" s="29"/>
      <c r="D508" s="40"/>
      <c r="E508" s="162"/>
      <c r="F508" s="163"/>
    </row>
    <row r="509" spans="1:6" s="55" customFormat="1">
      <c r="A509" s="17"/>
      <c r="B509" s="1"/>
      <c r="C509" s="29"/>
      <c r="D509" s="40"/>
      <c r="E509" s="162"/>
      <c r="F509" s="163"/>
    </row>
    <row r="510" spans="1:6" s="55" customFormat="1">
      <c r="A510" s="17"/>
      <c r="B510" s="1"/>
      <c r="C510" s="29"/>
      <c r="D510" s="40"/>
      <c r="E510" s="162"/>
      <c r="F510" s="163"/>
    </row>
    <row r="511" spans="1:6" s="55" customFormat="1">
      <c r="A511" s="17"/>
      <c r="B511" s="1"/>
      <c r="C511" s="29"/>
      <c r="D511" s="40"/>
      <c r="E511" s="162"/>
      <c r="F511" s="163"/>
    </row>
    <row r="512" spans="1:6" s="55" customFormat="1">
      <c r="A512" s="17"/>
      <c r="B512" s="1"/>
      <c r="C512" s="29"/>
      <c r="D512" s="40"/>
      <c r="E512" s="162"/>
      <c r="F512" s="163"/>
    </row>
    <row r="513" spans="1:6" s="55" customFormat="1">
      <c r="A513" s="17"/>
      <c r="B513" s="1"/>
      <c r="C513" s="29"/>
      <c r="D513" s="40"/>
      <c r="E513" s="162"/>
      <c r="F513" s="163"/>
    </row>
  </sheetData>
  <pageMargins left="0.7" right="0.7" top="0.75" bottom="0.75" header="0.3" footer="0.3"/>
  <pageSetup paperSize="9" scale="72"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8.xml><?xml version="1.0" encoding="utf-8"?>
<worksheet xmlns="http://schemas.openxmlformats.org/spreadsheetml/2006/main" xmlns:r="http://schemas.openxmlformats.org/officeDocument/2006/relationships">
  <sheetPr>
    <tabColor rgb="FFFFC000"/>
  </sheetPr>
  <dimension ref="A1:J571"/>
  <sheetViews>
    <sheetView showZeros="0" view="pageBreakPreview" zoomScale="85" zoomScaleNormal="100" zoomScaleSheetLayoutView="85" workbookViewId="0">
      <selection activeCell="E1" sqref="E1"/>
    </sheetView>
  </sheetViews>
  <sheetFormatPr defaultColWidth="8.85546875" defaultRowHeight="15"/>
  <cols>
    <col min="1" max="1" width="8.7109375" style="17" customWidth="1"/>
    <col min="2" max="2" width="45.140625" style="1" customWidth="1"/>
    <col min="3" max="3" width="8.5703125" style="29" customWidth="1"/>
    <col min="4" max="4" width="10.7109375" style="40" customWidth="1"/>
    <col min="5" max="5" width="13.7109375" style="183" customWidth="1"/>
    <col min="6" max="6" width="16.7109375" style="183" customWidth="1"/>
    <col min="7" max="16384" width="8.85546875" style="2"/>
  </cols>
  <sheetData>
    <row r="1" spans="1:10">
      <c r="A1" s="107" t="s">
        <v>260</v>
      </c>
      <c r="B1" s="107" t="s">
        <v>261</v>
      </c>
      <c r="C1" s="64" t="s">
        <v>262</v>
      </c>
      <c r="D1" s="109" t="s">
        <v>263</v>
      </c>
      <c r="E1" s="186" t="s">
        <v>264</v>
      </c>
      <c r="F1" s="187" t="s">
        <v>265</v>
      </c>
    </row>
    <row r="3" spans="1:10">
      <c r="A3" s="17" t="s">
        <v>30</v>
      </c>
      <c r="B3" s="25" t="s">
        <v>31</v>
      </c>
      <c r="C3" s="42"/>
      <c r="D3" s="41"/>
      <c r="E3" s="180"/>
      <c r="F3" s="181"/>
    </row>
    <row r="4" spans="1:10">
      <c r="A4" s="50"/>
      <c r="B4" s="4"/>
      <c r="C4" s="42"/>
      <c r="D4" s="41"/>
      <c r="E4" s="180"/>
      <c r="F4" s="181"/>
    </row>
    <row r="5" spans="1:10">
      <c r="A5" s="50"/>
      <c r="B5" s="4"/>
      <c r="C5" s="42"/>
      <c r="D5" s="41"/>
      <c r="E5" s="180"/>
      <c r="F5" s="181"/>
    </row>
    <row r="6" spans="1:10" ht="30">
      <c r="A6" s="17">
        <v>1</v>
      </c>
      <c r="B6" s="1" t="s">
        <v>32</v>
      </c>
      <c r="C6" s="42"/>
      <c r="D6" s="41"/>
      <c r="E6" s="180"/>
      <c r="F6" s="181"/>
    </row>
    <row r="7" spans="1:10" ht="30">
      <c r="B7" s="1" t="s">
        <v>38</v>
      </c>
      <c r="C7" s="42"/>
      <c r="D7" s="41"/>
      <c r="E7" s="180"/>
      <c r="F7" s="181"/>
    </row>
    <row r="8" spans="1:10">
      <c r="B8" s="1" t="s">
        <v>33</v>
      </c>
      <c r="C8" s="42"/>
      <c r="D8" s="41"/>
      <c r="E8" s="180"/>
      <c r="F8" s="181"/>
    </row>
    <row r="9" spans="1:10" ht="60">
      <c r="B9" s="1" t="s">
        <v>39</v>
      </c>
      <c r="C9" s="42"/>
      <c r="D9" s="41"/>
      <c r="E9" s="180"/>
      <c r="F9" s="181"/>
    </row>
    <row r="10" spans="1:10">
      <c r="A10" s="50"/>
      <c r="B10" s="1" t="s">
        <v>475</v>
      </c>
      <c r="C10" s="29" t="s">
        <v>21</v>
      </c>
      <c r="D10" s="40">
        <v>109500</v>
      </c>
      <c r="E10" s="182"/>
      <c r="I10" s="8"/>
      <c r="J10" s="8"/>
    </row>
    <row r="11" spans="1:10">
      <c r="A11" s="50"/>
      <c r="B11" s="1" t="s">
        <v>476</v>
      </c>
      <c r="C11" s="29" t="s">
        <v>21</v>
      </c>
      <c r="D11" s="40">
        <v>63000</v>
      </c>
      <c r="E11" s="182"/>
      <c r="I11" s="8"/>
    </row>
    <row r="12" spans="1:10">
      <c r="A12" s="50" t="s">
        <v>34</v>
      </c>
      <c r="D12" s="292">
        <f>1453*115*0.35</f>
        <v>58483.249999999993</v>
      </c>
      <c r="E12" s="182"/>
    </row>
    <row r="13" spans="1:10">
      <c r="A13" s="50"/>
      <c r="E13" s="182"/>
    </row>
    <row r="14" spans="1:10">
      <c r="A14" s="172" t="s">
        <v>30</v>
      </c>
      <c r="B14" s="173" t="s">
        <v>35</v>
      </c>
      <c r="C14" s="174"/>
      <c r="D14" s="175"/>
      <c r="E14" s="192"/>
      <c r="F14" s="193"/>
    </row>
    <row r="15" spans="1:10">
      <c r="A15" s="50"/>
      <c r="B15" s="4"/>
      <c r="C15" s="42"/>
      <c r="D15" s="41"/>
      <c r="E15" s="180"/>
      <c r="F15" s="181"/>
    </row>
    <row r="16" spans="1:10">
      <c r="E16" s="182"/>
    </row>
    <row r="17" spans="2:5">
      <c r="E17" s="182"/>
    </row>
    <row r="18" spans="2:5">
      <c r="B18" s="71"/>
      <c r="E18" s="182"/>
    </row>
    <row r="19" spans="2:5">
      <c r="E19" s="182"/>
    </row>
    <row r="20" spans="2:5">
      <c r="B20" s="24"/>
      <c r="E20" s="182"/>
    </row>
    <row r="21" spans="2:5">
      <c r="B21" s="24"/>
      <c r="E21" s="182"/>
    </row>
    <row r="22" spans="2:5">
      <c r="B22" s="24"/>
      <c r="E22" s="182"/>
    </row>
    <row r="23" spans="2:5">
      <c r="B23" s="24"/>
      <c r="E23" s="182"/>
    </row>
    <row r="24" spans="2:5">
      <c r="B24" s="24"/>
      <c r="E24" s="182"/>
    </row>
    <row r="25" spans="2:5">
      <c r="B25" s="24"/>
      <c r="E25" s="182"/>
    </row>
    <row r="26" spans="2:5">
      <c r="B26" s="24"/>
      <c r="E26" s="182"/>
    </row>
    <row r="27" spans="2:5">
      <c r="B27" s="24"/>
      <c r="E27" s="182"/>
    </row>
    <row r="28" spans="2:5">
      <c r="B28" s="24"/>
      <c r="E28" s="182"/>
    </row>
    <row r="29" spans="2:5">
      <c r="B29" s="24"/>
      <c r="E29" s="182"/>
    </row>
    <row r="30" spans="2:5">
      <c r="B30" s="24"/>
      <c r="E30" s="182"/>
    </row>
    <row r="31" spans="2:5">
      <c r="B31" s="24"/>
      <c r="E31" s="182"/>
    </row>
    <row r="32" spans="2:5">
      <c r="B32" s="24"/>
      <c r="E32" s="182"/>
    </row>
    <row r="33" spans="2:5">
      <c r="B33" s="24"/>
      <c r="E33" s="182"/>
    </row>
    <row r="34" spans="2:5">
      <c r="B34" s="24"/>
      <c r="E34" s="182"/>
    </row>
    <row r="35" spans="2:5">
      <c r="B35" s="24"/>
      <c r="E35" s="182"/>
    </row>
    <row r="36" spans="2:5">
      <c r="B36" s="24"/>
      <c r="E36" s="182"/>
    </row>
    <row r="37" spans="2:5">
      <c r="B37" s="24"/>
      <c r="E37" s="182"/>
    </row>
    <row r="38" spans="2:5">
      <c r="B38" s="24"/>
      <c r="E38" s="182"/>
    </row>
    <row r="39" spans="2:5">
      <c r="B39" s="24"/>
      <c r="E39" s="182"/>
    </row>
    <row r="40" spans="2:5">
      <c r="B40" s="24"/>
      <c r="E40" s="182"/>
    </row>
    <row r="41" spans="2:5">
      <c r="B41" s="24"/>
      <c r="E41" s="182"/>
    </row>
    <row r="42" spans="2:5">
      <c r="B42" s="24"/>
      <c r="E42" s="182"/>
    </row>
    <row r="43" spans="2:5">
      <c r="B43" s="24"/>
      <c r="E43" s="182"/>
    </row>
    <row r="44" spans="2:5">
      <c r="B44" s="24"/>
      <c r="E44" s="182"/>
    </row>
    <row r="45" spans="2:5">
      <c r="B45" s="24"/>
      <c r="E45" s="182"/>
    </row>
    <row r="46" spans="2:5">
      <c r="B46" s="24"/>
      <c r="E46" s="182"/>
    </row>
    <row r="47" spans="2:5">
      <c r="B47" s="24"/>
      <c r="E47" s="182"/>
    </row>
    <row r="48" spans="2:5">
      <c r="B48" s="24"/>
      <c r="E48" s="182"/>
    </row>
    <row r="49" spans="2:5">
      <c r="B49" s="24"/>
      <c r="E49" s="182"/>
    </row>
    <row r="50" spans="2:5">
      <c r="B50" s="24"/>
      <c r="E50" s="182"/>
    </row>
    <row r="51" spans="2:5">
      <c r="B51" s="24"/>
      <c r="E51" s="182"/>
    </row>
    <row r="52" spans="2:5">
      <c r="B52" s="24"/>
      <c r="E52" s="182"/>
    </row>
    <row r="53" spans="2:5" ht="98.25" customHeight="1">
      <c r="B53" s="24"/>
      <c r="E53" s="182"/>
    </row>
    <row r="54" spans="2:5">
      <c r="B54" s="24"/>
      <c r="E54" s="182"/>
    </row>
    <row r="55" spans="2:5">
      <c r="B55" s="24"/>
      <c r="E55" s="182"/>
    </row>
    <row r="56" spans="2:5">
      <c r="B56" s="24"/>
      <c r="E56" s="182"/>
    </row>
    <row r="57" spans="2:5">
      <c r="B57" s="24"/>
      <c r="E57" s="182"/>
    </row>
    <row r="58" spans="2:5">
      <c r="B58" s="24"/>
      <c r="E58" s="182"/>
    </row>
    <row r="59" spans="2:5">
      <c r="B59" s="24"/>
      <c r="E59" s="182"/>
    </row>
    <row r="60" spans="2:5">
      <c r="B60" s="24"/>
      <c r="E60" s="182"/>
    </row>
    <row r="61" spans="2:5">
      <c r="B61" s="24"/>
      <c r="E61" s="182"/>
    </row>
    <row r="62" spans="2:5">
      <c r="B62" s="24"/>
      <c r="E62" s="182"/>
    </row>
    <row r="63" spans="2:5">
      <c r="B63" s="24"/>
      <c r="E63" s="182"/>
    </row>
    <row r="64" spans="2:5">
      <c r="B64" s="24"/>
      <c r="E64" s="182"/>
    </row>
    <row r="65" spans="2:5">
      <c r="B65" s="24"/>
      <c r="E65" s="182"/>
    </row>
    <row r="66" spans="2:5">
      <c r="B66" s="24"/>
      <c r="E66" s="182"/>
    </row>
    <row r="67" spans="2:5">
      <c r="B67" s="24"/>
      <c r="E67" s="182"/>
    </row>
    <row r="68" spans="2:5">
      <c r="B68" s="24"/>
      <c r="E68" s="182"/>
    </row>
    <row r="69" spans="2:5">
      <c r="B69" s="24"/>
      <c r="E69" s="182"/>
    </row>
    <row r="70" spans="2:5">
      <c r="B70" s="24"/>
      <c r="E70" s="182"/>
    </row>
    <row r="71" spans="2:5">
      <c r="B71" s="24"/>
      <c r="E71" s="182"/>
    </row>
    <row r="72" spans="2:5">
      <c r="B72" s="24"/>
      <c r="E72" s="182"/>
    </row>
    <row r="73" spans="2:5">
      <c r="B73" s="24"/>
      <c r="E73" s="182"/>
    </row>
    <row r="74" spans="2:5">
      <c r="B74" s="24"/>
      <c r="E74" s="182"/>
    </row>
    <row r="75" spans="2:5">
      <c r="B75" s="24"/>
      <c r="E75" s="182"/>
    </row>
    <row r="76" spans="2:5">
      <c r="B76" s="24"/>
      <c r="E76" s="182"/>
    </row>
    <row r="77" spans="2:5">
      <c r="B77" s="24"/>
      <c r="E77" s="182"/>
    </row>
    <row r="78" spans="2:5">
      <c r="B78" s="24"/>
      <c r="E78" s="182"/>
    </row>
    <row r="79" spans="2:5">
      <c r="B79" s="24"/>
      <c r="E79" s="182"/>
    </row>
    <row r="80" spans="2:5">
      <c r="B80" s="24"/>
      <c r="E80" s="182"/>
    </row>
    <row r="81" spans="2:5">
      <c r="B81" s="24"/>
      <c r="E81" s="182"/>
    </row>
    <row r="82" spans="2:5">
      <c r="B82" s="24"/>
      <c r="E82" s="182"/>
    </row>
    <row r="83" spans="2:5">
      <c r="B83" s="24"/>
      <c r="E83" s="182"/>
    </row>
    <row r="84" spans="2:5">
      <c r="B84" s="24"/>
      <c r="E84" s="182"/>
    </row>
    <row r="85" spans="2:5">
      <c r="B85" s="24"/>
      <c r="E85" s="182"/>
    </row>
    <row r="86" spans="2:5">
      <c r="B86" s="24"/>
      <c r="E86" s="182"/>
    </row>
    <row r="87" spans="2:5">
      <c r="B87" s="24"/>
      <c r="E87" s="182"/>
    </row>
    <row r="88" spans="2:5">
      <c r="B88" s="24"/>
      <c r="E88" s="182"/>
    </row>
    <row r="89" spans="2:5">
      <c r="B89" s="24"/>
      <c r="E89" s="182"/>
    </row>
    <row r="90" spans="2:5">
      <c r="B90" s="24"/>
      <c r="E90" s="182"/>
    </row>
    <row r="91" spans="2:5">
      <c r="B91" s="24"/>
      <c r="E91" s="182"/>
    </row>
    <row r="92" spans="2:5">
      <c r="B92" s="24"/>
      <c r="E92" s="182"/>
    </row>
    <row r="93" spans="2:5">
      <c r="B93" s="24"/>
      <c r="E93" s="182"/>
    </row>
    <row r="94" spans="2:5">
      <c r="B94" s="24"/>
      <c r="E94" s="182"/>
    </row>
    <row r="95" spans="2:5">
      <c r="B95" s="24"/>
      <c r="E95" s="182"/>
    </row>
    <row r="96" spans="2:5">
      <c r="B96" s="24"/>
      <c r="E96" s="182"/>
    </row>
    <row r="97" spans="2:5">
      <c r="B97" s="24"/>
      <c r="E97" s="182"/>
    </row>
    <row r="98" spans="2:5">
      <c r="B98" s="24"/>
      <c r="E98" s="182"/>
    </row>
    <row r="99" spans="2:5">
      <c r="B99" s="24"/>
      <c r="E99" s="182"/>
    </row>
    <row r="100" spans="2:5">
      <c r="B100" s="24"/>
      <c r="E100" s="182"/>
    </row>
    <row r="101" spans="2:5">
      <c r="B101" s="24"/>
      <c r="E101" s="182"/>
    </row>
    <row r="102" spans="2:5">
      <c r="B102" s="24"/>
      <c r="E102" s="182"/>
    </row>
    <row r="103" spans="2:5">
      <c r="B103" s="24"/>
      <c r="E103" s="182"/>
    </row>
    <row r="104" spans="2:5">
      <c r="B104" s="24"/>
      <c r="E104" s="182"/>
    </row>
    <row r="105" spans="2:5">
      <c r="B105" s="24"/>
      <c r="E105" s="182"/>
    </row>
    <row r="106" spans="2:5">
      <c r="B106" s="24"/>
      <c r="E106" s="182"/>
    </row>
    <row r="107" spans="2:5">
      <c r="B107" s="24"/>
      <c r="E107" s="182"/>
    </row>
    <row r="108" spans="2:5">
      <c r="B108" s="24"/>
      <c r="E108" s="182"/>
    </row>
    <row r="109" spans="2:5">
      <c r="B109" s="24"/>
      <c r="E109" s="182"/>
    </row>
    <row r="110" spans="2:5">
      <c r="B110" s="24"/>
      <c r="E110" s="182"/>
    </row>
    <row r="111" spans="2:5">
      <c r="B111" s="24"/>
      <c r="E111" s="182"/>
    </row>
    <row r="112" spans="2:5">
      <c r="B112" s="24"/>
      <c r="E112" s="182"/>
    </row>
    <row r="113" spans="2:5">
      <c r="B113" s="24"/>
      <c r="E113" s="182"/>
    </row>
    <row r="114" spans="2:5">
      <c r="B114" s="24"/>
      <c r="E114" s="182"/>
    </row>
    <row r="115" spans="2:5">
      <c r="B115" s="24"/>
      <c r="E115" s="182"/>
    </row>
    <row r="116" spans="2:5">
      <c r="B116" s="24"/>
      <c r="E116" s="182"/>
    </row>
    <row r="117" spans="2:5">
      <c r="B117" s="24"/>
      <c r="E117" s="182"/>
    </row>
    <row r="118" spans="2:5">
      <c r="B118" s="24"/>
      <c r="E118" s="182"/>
    </row>
    <row r="119" spans="2:5">
      <c r="B119" s="24"/>
      <c r="E119" s="182"/>
    </row>
    <row r="120" spans="2:5">
      <c r="B120" s="24"/>
      <c r="E120" s="182"/>
    </row>
    <row r="121" spans="2:5">
      <c r="B121" s="24"/>
      <c r="E121" s="182"/>
    </row>
    <row r="122" spans="2:5">
      <c r="B122" s="24"/>
      <c r="E122" s="182"/>
    </row>
    <row r="123" spans="2:5">
      <c r="B123" s="24"/>
      <c r="E123" s="182"/>
    </row>
    <row r="124" spans="2:5">
      <c r="B124" s="24"/>
      <c r="E124" s="182"/>
    </row>
    <row r="125" spans="2:5">
      <c r="B125" s="24"/>
      <c r="E125" s="182"/>
    </row>
    <row r="126" spans="2:5">
      <c r="B126" s="24"/>
      <c r="E126" s="182"/>
    </row>
    <row r="127" spans="2:5">
      <c r="B127" s="24"/>
      <c r="E127" s="182"/>
    </row>
    <row r="128" spans="2:5">
      <c r="B128" s="24"/>
      <c r="E128" s="182"/>
    </row>
    <row r="129" spans="2:5">
      <c r="B129" s="24"/>
      <c r="E129" s="182"/>
    </row>
    <row r="130" spans="2:5">
      <c r="B130" s="24"/>
      <c r="E130" s="182"/>
    </row>
    <row r="131" spans="2:5">
      <c r="B131" s="24"/>
      <c r="E131" s="182"/>
    </row>
    <row r="132" spans="2:5">
      <c r="B132" s="24"/>
      <c r="E132" s="182"/>
    </row>
    <row r="133" spans="2:5">
      <c r="B133" s="24"/>
      <c r="E133" s="182"/>
    </row>
    <row r="134" spans="2:5">
      <c r="B134" s="24"/>
      <c r="E134" s="182"/>
    </row>
    <row r="135" spans="2:5">
      <c r="B135" s="24"/>
      <c r="E135" s="182"/>
    </row>
    <row r="136" spans="2:5">
      <c r="B136" s="24"/>
      <c r="E136" s="182"/>
    </row>
    <row r="137" spans="2:5">
      <c r="B137" s="24"/>
      <c r="E137" s="182"/>
    </row>
    <row r="138" spans="2:5">
      <c r="B138" s="24"/>
      <c r="E138" s="182"/>
    </row>
    <row r="139" spans="2:5">
      <c r="B139" s="24"/>
      <c r="E139" s="182"/>
    </row>
    <row r="140" spans="2:5">
      <c r="B140" s="24"/>
      <c r="E140" s="182"/>
    </row>
    <row r="141" spans="2:5">
      <c r="B141" s="24"/>
      <c r="E141" s="182"/>
    </row>
    <row r="142" spans="2:5">
      <c r="B142" s="24"/>
      <c r="E142" s="182"/>
    </row>
    <row r="143" spans="2:5">
      <c r="B143" s="24"/>
      <c r="E143" s="182"/>
    </row>
    <row r="144" spans="2:5">
      <c r="B144" s="24"/>
      <c r="E144" s="182"/>
    </row>
    <row r="145" spans="2:5">
      <c r="B145" s="24"/>
      <c r="E145" s="182"/>
    </row>
    <row r="146" spans="2:5">
      <c r="B146" s="24"/>
      <c r="E146" s="182"/>
    </row>
    <row r="147" spans="2:5">
      <c r="E147" s="182"/>
    </row>
    <row r="148" spans="2:5">
      <c r="E148" s="182"/>
    </row>
    <row r="149" spans="2:5">
      <c r="E149" s="182"/>
    </row>
    <row r="150" spans="2:5">
      <c r="E150" s="182"/>
    </row>
    <row r="151" spans="2:5">
      <c r="E151" s="182"/>
    </row>
    <row r="152" spans="2:5">
      <c r="E152" s="182"/>
    </row>
    <row r="153" spans="2:5">
      <c r="E153" s="182"/>
    </row>
    <row r="154" spans="2:5">
      <c r="E154" s="182"/>
    </row>
    <row r="155" spans="2:5">
      <c r="E155" s="182"/>
    </row>
    <row r="156" spans="2:5">
      <c r="E156" s="182"/>
    </row>
    <row r="157" spans="2:5">
      <c r="E157" s="182"/>
    </row>
    <row r="158" spans="2:5">
      <c r="E158" s="182"/>
    </row>
    <row r="159" spans="2:5">
      <c r="E159" s="182"/>
    </row>
    <row r="160" spans="2:5">
      <c r="E160" s="182"/>
    </row>
    <row r="161" spans="5:5">
      <c r="E161" s="182"/>
    </row>
    <row r="162" spans="5:5">
      <c r="E162" s="182"/>
    </row>
    <row r="163" spans="5:5">
      <c r="E163" s="182"/>
    </row>
    <row r="164" spans="5:5">
      <c r="E164" s="182"/>
    </row>
    <row r="165" spans="5:5">
      <c r="E165" s="182"/>
    </row>
    <row r="166" spans="5:5">
      <c r="E166" s="182"/>
    </row>
    <row r="167" spans="5:5">
      <c r="E167" s="182"/>
    </row>
    <row r="168" spans="5:5">
      <c r="E168" s="182"/>
    </row>
    <row r="169" spans="5:5">
      <c r="E169" s="182"/>
    </row>
    <row r="170" spans="5:5">
      <c r="E170" s="182"/>
    </row>
    <row r="171" spans="5:5">
      <c r="E171" s="182"/>
    </row>
    <row r="172" spans="5:5">
      <c r="E172" s="182"/>
    </row>
    <row r="173" spans="5:5">
      <c r="E173" s="182"/>
    </row>
    <row r="174" spans="5:5">
      <c r="E174" s="182"/>
    </row>
    <row r="175" spans="5:5">
      <c r="E175" s="182"/>
    </row>
    <row r="176" spans="5:5">
      <c r="E176" s="182"/>
    </row>
    <row r="177" spans="2:5">
      <c r="E177" s="182"/>
    </row>
    <row r="178" spans="2:5">
      <c r="E178" s="182"/>
    </row>
    <row r="179" spans="2:5">
      <c r="B179" s="24"/>
      <c r="E179" s="182"/>
    </row>
    <row r="180" spans="2:5">
      <c r="B180" s="24"/>
      <c r="E180" s="182"/>
    </row>
    <row r="181" spans="2:5">
      <c r="B181" s="24"/>
      <c r="E181" s="182"/>
    </row>
    <row r="182" spans="2:5">
      <c r="B182" s="24"/>
      <c r="E182" s="182"/>
    </row>
    <row r="183" spans="2:5">
      <c r="B183" s="24"/>
      <c r="E183" s="182"/>
    </row>
    <row r="184" spans="2:5">
      <c r="B184" s="24"/>
      <c r="E184" s="182"/>
    </row>
    <row r="185" spans="2:5">
      <c r="B185" s="24"/>
      <c r="E185" s="182"/>
    </row>
    <row r="186" spans="2:5">
      <c r="B186" s="24"/>
      <c r="E186" s="182"/>
    </row>
    <row r="187" spans="2:5">
      <c r="B187" s="24"/>
      <c r="E187" s="182"/>
    </row>
    <row r="188" spans="2:5">
      <c r="B188" s="24"/>
      <c r="E188" s="182"/>
    </row>
    <row r="189" spans="2:5">
      <c r="B189" s="24"/>
      <c r="E189" s="182"/>
    </row>
    <row r="190" spans="2:5">
      <c r="B190" s="24"/>
      <c r="E190" s="182"/>
    </row>
    <row r="191" spans="2:5">
      <c r="B191" s="24"/>
      <c r="E191" s="182"/>
    </row>
    <row r="192" spans="2:5">
      <c r="B192" s="24"/>
      <c r="E192" s="182"/>
    </row>
    <row r="193" spans="2:5">
      <c r="B193" s="24"/>
      <c r="E193" s="182"/>
    </row>
    <row r="194" spans="2:5">
      <c r="B194" s="24"/>
      <c r="E194" s="182"/>
    </row>
    <row r="195" spans="2:5">
      <c r="B195" s="24"/>
      <c r="E195" s="182"/>
    </row>
    <row r="196" spans="2:5">
      <c r="B196" s="24"/>
      <c r="E196" s="182"/>
    </row>
    <row r="197" spans="2:5">
      <c r="B197" s="24"/>
      <c r="E197" s="182"/>
    </row>
    <row r="198" spans="2:5">
      <c r="B198" s="24"/>
      <c r="E198" s="182"/>
    </row>
    <row r="199" spans="2:5">
      <c r="B199" s="24"/>
      <c r="E199" s="182"/>
    </row>
    <row r="200" spans="2:5">
      <c r="B200" s="24"/>
      <c r="E200" s="182"/>
    </row>
    <row r="201" spans="2:5">
      <c r="B201" s="24"/>
      <c r="E201" s="182"/>
    </row>
    <row r="202" spans="2:5">
      <c r="B202" s="24"/>
      <c r="E202" s="182"/>
    </row>
    <row r="203" spans="2:5">
      <c r="B203" s="24"/>
      <c r="E203" s="182"/>
    </row>
    <row r="204" spans="2:5">
      <c r="B204" s="24"/>
      <c r="E204" s="182"/>
    </row>
    <row r="205" spans="2:5">
      <c r="B205" s="24"/>
      <c r="E205" s="182"/>
    </row>
    <row r="206" spans="2:5">
      <c r="B206" s="24"/>
      <c r="E206" s="182"/>
    </row>
    <row r="207" spans="2:5">
      <c r="B207" s="24"/>
      <c r="E207" s="182"/>
    </row>
    <row r="208" spans="2:5">
      <c r="B208" s="24"/>
      <c r="E208" s="182"/>
    </row>
    <row r="209" spans="2:5">
      <c r="B209" s="24"/>
      <c r="E209" s="182"/>
    </row>
    <row r="210" spans="2:5">
      <c r="B210" s="24"/>
      <c r="E210" s="182"/>
    </row>
    <row r="211" spans="2:5">
      <c r="B211" s="24"/>
      <c r="E211" s="182"/>
    </row>
    <row r="212" spans="2:5">
      <c r="B212" s="24"/>
      <c r="E212" s="182"/>
    </row>
    <row r="213" spans="2:5">
      <c r="B213" s="24"/>
      <c r="E213" s="182"/>
    </row>
    <row r="214" spans="2:5">
      <c r="B214" s="24"/>
      <c r="E214" s="182"/>
    </row>
    <row r="215" spans="2:5">
      <c r="B215" s="24"/>
      <c r="E215" s="182"/>
    </row>
    <row r="216" spans="2:5">
      <c r="B216" s="24"/>
      <c r="E216" s="182"/>
    </row>
    <row r="217" spans="2:5">
      <c r="B217" s="24"/>
      <c r="E217" s="182"/>
    </row>
    <row r="218" spans="2:5">
      <c r="B218" s="24"/>
      <c r="E218" s="182"/>
    </row>
    <row r="219" spans="2:5">
      <c r="B219" s="24"/>
      <c r="E219" s="182"/>
    </row>
    <row r="220" spans="2:5">
      <c r="B220" s="24"/>
      <c r="E220" s="182"/>
    </row>
    <row r="221" spans="2:5">
      <c r="B221" s="24"/>
      <c r="E221" s="182"/>
    </row>
    <row r="222" spans="2:5">
      <c r="B222" s="24"/>
      <c r="E222" s="182"/>
    </row>
    <row r="223" spans="2:5">
      <c r="B223" s="24"/>
      <c r="E223" s="182"/>
    </row>
    <row r="224" spans="2:5">
      <c r="B224" s="24"/>
      <c r="E224" s="182"/>
    </row>
    <row r="225" spans="2:5">
      <c r="B225" s="24"/>
      <c r="E225" s="182"/>
    </row>
    <row r="226" spans="2:5">
      <c r="B226" s="24"/>
      <c r="E226" s="182"/>
    </row>
    <row r="227" spans="2:5">
      <c r="B227" s="24"/>
      <c r="E227" s="182"/>
    </row>
    <row r="228" spans="2:5">
      <c r="B228" s="24"/>
      <c r="E228" s="182"/>
    </row>
    <row r="229" spans="2:5">
      <c r="B229" s="24"/>
      <c r="E229" s="182"/>
    </row>
    <row r="230" spans="2:5">
      <c r="B230" s="24"/>
      <c r="E230" s="182"/>
    </row>
    <row r="231" spans="2:5">
      <c r="B231" s="24"/>
      <c r="E231" s="182"/>
    </row>
    <row r="232" spans="2:5">
      <c r="B232" s="24"/>
      <c r="E232" s="182"/>
    </row>
    <row r="233" spans="2:5">
      <c r="B233" s="24"/>
      <c r="E233" s="182"/>
    </row>
    <row r="234" spans="2:5">
      <c r="B234" s="24"/>
      <c r="E234" s="182"/>
    </row>
    <row r="235" spans="2:5">
      <c r="B235" s="24"/>
      <c r="E235" s="182"/>
    </row>
    <row r="236" spans="2:5">
      <c r="B236" s="24"/>
      <c r="E236" s="182"/>
    </row>
    <row r="237" spans="2:5">
      <c r="B237" s="24"/>
      <c r="E237" s="182"/>
    </row>
    <row r="238" spans="2:5">
      <c r="B238" s="24"/>
      <c r="E238" s="182"/>
    </row>
    <row r="239" spans="2:5">
      <c r="B239" s="24"/>
      <c r="E239" s="182"/>
    </row>
    <row r="240" spans="2:5">
      <c r="B240" s="24"/>
      <c r="E240" s="182"/>
    </row>
    <row r="241" spans="2:5">
      <c r="B241" s="24"/>
      <c r="E241" s="182"/>
    </row>
    <row r="242" spans="2:5">
      <c r="B242" s="24"/>
      <c r="E242" s="182"/>
    </row>
    <row r="243" spans="2:5">
      <c r="B243" s="24"/>
      <c r="E243" s="182"/>
    </row>
    <row r="244" spans="2:5">
      <c r="B244" s="24"/>
      <c r="E244" s="182"/>
    </row>
    <row r="245" spans="2:5">
      <c r="B245" s="24"/>
      <c r="E245" s="182"/>
    </row>
    <row r="246" spans="2:5">
      <c r="B246" s="24"/>
      <c r="E246" s="182"/>
    </row>
    <row r="247" spans="2:5">
      <c r="B247" s="24"/>
      <c r="E247" s="182"/>
    </row>
    <row r="248" spans="2:5">
      <c r="B248" s="24"/>
      <c r="E248" s="182"/>
    </row>
    <row r="249" spans="2:5">
      <c r="B249" s="24"/>
      <c r="E249" s="182"/>
    </row>
    <row r="250" spans="2:5">
      <c r="B250" s="24"/>
      <c r="E250" s="182"/>
    </row>
    <row r="251" spans="2:5">
      <c r="B251" s="24"/>
      <c r="E251" s="182"/>
    </row>
    <row r="252" spans="2:5">
      <c r="B252" s="24"/>
      <c r="E252" s="182"/>
    </row>
    <row r="253" spans="2:5">
      <c r="B253" s="24"/>
      <c r="E253" s="182"/>
    </row>
    <row r="254" spans="2:5">
      <c r="B254" s="24"/>
      <c r="E254" s="182"/>
    </row>
    <row r="255" spans="2:5">
      <c r="B255" s="24"/>
      <c r="E255" s="182"/>
    </row>
    <row r="256" spans="2:5">
      <c r="B256" s="24"/>
      <c r="E256" s="182"/>
    </row>
    <row r="257" spans="2:5">
      <c r="B257" s="24"/>
      <c r="E257" s="182"/>
    </row>
    <row r="258" spans="2:5">
      <c r="B258" s="24"/>
      <c r="E258" s="182"/>
    </row>
    <row r="259" spans="2:5">
      <c r="B259" s="24"/>
      <c r="E259" s="182"/>
    </row>
    <row r="260" spans="2:5">
      <c r="B260" s="24"/>
      <c r="E260" s="182"/>
    </row>
    <row r="261" spans="2:5">
      <c r="B261" s="24"/>
      <c r="E261" s="182"/>
    </row>
    <row r="262" spans="2:5">
      <c r="B262" s="24"/>
      <c r="E262" s="182"/>
    </row>
    <row r="263" spans="2:5">
      <c r="B263" s="24"/>
      <c r="E263" s="182"/>
    </row>
    <row r="264" spans="2:5">
      <c r="B264" s="24"/>
      <c r="E264" s="182"/>
    </row>
    <row r="265" spans="2:5">
      <c r="B265" s="24"/>
      <c r="E265" s="182"/>
    </row>
    <row r="266" spans="2:5">
      <c r="B266" s="24"/>
      <c r="E266" s="182"/>
    </row>
    <row r="267" spans="2:5">
      <c r="B267" s="24"/>
      <c r="E267" s="182"/>
    </row>
    <row r="268" spans="2:5">
      <c r="B268" s="24"/>
      <c r="E268" s="182"/>
    </row>
    <row r="269" spans="2:5">
      <c r="B269" s="24"/>
      <c r="E269" s="182"/>
    </row>
    <row r="270" spans="2:5">
      <c r="B270" s="24"/>
      <c r="E270" s="182"/>
    </row>
    <row r="271" spans="2:5">
      <c r="B271" s="24"/>
      <c r="E271" s="182"/>
    </row>
    <row r="272" spans="2:5">
      <c r="B272" s="24"/>
      <c r="E272" s="182"/>
    </row>
    <row r="273" spans="2:5">
      <c r="B273" s="24"/>
      <c r="E273" s="182"/>
    </row>
    <row r="274" spans="2:5">
      <c r="B274" s="24"/>
      <c r="E274" s="182"/>
    </row>
    <row r="275" spans="2:5">
      <c r="B275" s="24"/>
      <c r="E275" s="182"/>
    </row>
    <row r="276" spans="2:5">
      <c r="B276" s="24"/>
      <c r="E276" s="182"/>
    </row>
    <row r="277" spans="2:5">
      <c r="B277" s="24"/>
      <c r="E277" s="182"/>
    </row>
    <row r="278" spans="2:5">
      <c r="B278" s="24"/>
      <c r="E278" s="182"/>
    </row>
    <row r="279" spans="2:5">
      <c r="B279" s="24"/>
      <c r="E279" s="182"/>
    </row>
    <row r="280" spans="2:5">
      <c r="B280" s="24"/>
      <c r="E280" s="182"/>
    </row>
    <row r="281" spans="2:5">
      <c r="B281" s="24"/>
      <c r="E281" s="182"/>
    </row>
    <row r="282" spans="2:5">
      <c r="B282" s="24"/>
      <c r="E282" s="182"/>
    </row>
    <row r="283" spans="2:5">
      <c r="B283" s="24"/>
      <c r="E283" s="182"/>
    </row>
    <row r="284" spans="2:5">
      <c r="B284" s="24"/>
      <c r="E284" s="182"/>
    </row>
    <row r="285" spans="2:5">
      <c r="B285" s="24"/>
      <c r="E285" s="182"/>
    </row>
    <row r="286" spans="2:5">
      <c r="B286" s="24"/>
      <c r="E286" s="182"/>
    </row>
    <row r="287" spans="2:5">
      <c r="B287" s="24"/>
      <c r="E287" s="182"/>
    </row>
    <row r="288" spans="2:5">
      <c r="B288" s="24"/>
      <c r="E288" s="182"/>
    </row>
    <row r="289" spans="2:5">
      <c r="B289" s="24"/>
      <c r="E289" s="182"/>
    </row>
    <row r="290" spans="2:5" ht="307.5" customHeight="1">
      <c r="B290" s="24"/>
      <c r="E290" s="182"/>
    </row>
    <row r="291" spans="2:5" ht="36.75" customHeight="1">
      <c r="E291" s="182"/>
    </row>
    <row r="292" spans="2:5" ht="37.5" customHeight="1">
      <c r="E292" s="182"/>
    </row>
    <row r="293" spans="2:5" ht="37.5" customHeight="1">
      <c r="E293" s="182"/>
    </row>
    <row r="294" spans="2:5" ht="34.5" customHeight="1">
      <c r="E294" s="182"/>
    </row>
    <row r="295" spans="2:5" ht="36" customHeight="1">
      <c r="E295" s="182"/>
    </row>
    <row r="296" spans="2:5" ht="30.75" customHeight="1">
      <c r="E296" s="182"/>
    </row>
    <row r="297" spans="2:5" ht="42" customHeight="1">
      <c r="E297" s="182"/>
    </row>
    <row r="298" spans="2:5">
      <c r="E298" s="182"/>
    </row>
    <row r="299" spans="2:5">
      <c r="E299" s="182"/>
    </row>
    <row r="300" spans="2:5">
      <c r="E300" s="182"/>
    </row>
    <row r="301" spans="2:5">
      <c r="E301" s="182"/>
    </row>
    <row r="302" spans="2:5">
      <c r="E302" s="182"/>
    </row>
    <row r="303" spans="2:5">
      <c r="E303" s="182"/>
    </row>
    <row r="304" spans="2:5">
      <c r="E304" s="182"/>
    </row>
    <row r="305" spans="5:5">
      <c r="E305" s="182"/>
    </row>
    <row r="306" spans="5:5">
      <c r="E306" s="182"/>
    </row>
    <row r="307" spans="5:5">
      <c r="E307" s="182"/>
    </row>
    <row r="308" spans="5:5">
      <c r="E308" s="182"/>
    </row>
    <row r="309" spans="5:5">
      <c r="E309" s="182"/>
    </row>
    <row r="310" spans="5:5">
      <c r="E310" s="182"/>
    </row>
    <row r="311" spans="5:5">
      <c r="E311" s="182"/>
    </row>
    <row r="312" spans="5:5">
      <c r="E312" s="182"/>
    </row>
    <row r="313" spans="5:5">
      <c r="E313" s="182"/>
    </row>
    <row r="314" spans="5:5">
      <c r="E314" s="182"/>
    </row>
    <row r="315" spans="5:5">
      <c r="E315" s="182"/>
    </row>
    <row r="316" spans="5:5">
      <c r="E316" s="182"/>
    </row>
    <row r="317" spans="5:5">
      <c r="E317" s="182"/>
    </row>
    <row r="318" spans="5:5">
      <c r="E318" s="182"/>
    </row>
    <row r="319" spans="5:5">
      <c r="E319" s="182"/>
    </row>
    <row r="320" spans="5:5">
      <c r="E320" s="182"/>
    </row>
    <row r="321" spans="2:5">
      <c r="E321" s="182"/>
    </row>
    <row r="322" spans="2:5">
      <c r="E322" s="182"/>
    </row>
    <row r="323" spans="2:5">
      <c r="B323" s="24"/>
      <c r="E323" s="182"/>
    </row>
    <row r="324" spans="2:5">
      <c r="B324" s="24"/>
      <c r="E324" s="182"/>
    </row>
    <row r="325" spans="2:5">
      <c r="B325" s="24"/>
      <c r="E325" s="182"/>
    </row>
    <row r="326" spans="2:5">
      <c r="B326" s="24"/>
      <c r="E326" s="182"/>
    </row>
    <row r="327" spans="2:5">
      <c r="B327" s="24"/>
      <c r="E327" s="182"/>
    </row>
    <row r="328" spans="2:5">
      <c r="B328" s="24"/>
      <c r="E328" s="182"/>
    </row>
    <row r="329" spans="2:5">
      <c r="B329" s="24"/>
      <c r="E329" s="182"/>
    </row>
    <row r="330" spans="2:5">
      <c r="B330" s="24"/>
      <c r="E330" s="182"/>
    </row>
    <row r="331" spans="2:5">
      <c r="B331" s="24"/>
      <c r="E331" s="182"/>
    </row>
    <row r="332" spans="2:5">
      <c r="B332" s="24"/>
      <c r="E332" s="182"/>
    </row>
    <row r="333" spans="2:5">
      <c r="B333" s="24"/>
      <c r="E333" s="182"/>
    </row>
    <row r="334" spans="2:5">
      <c r="B334" s="24"/>
      <c r="E334" s="182"/>
    </row>
    <row r="335" spans="2:5">
      <c r="B335" s="24"/>
      <c r="E335" s="182"/>
    </row>
    <row r="336" spans="2:5">
      <c r="B336" s="24"/>
      <c r="E336" s="182"/>
    </row>
    <row r="337" spans="2:5">
      <c r="B337" s="24"/>
      <c r="E337" s="182"/>
    </row>
    <row r="338" spans="2:5">
      <c r="B338" s="24"/>
      <c r="E338" s="182"/>
    </row>
    <row r="339" spans="2:5">
      <c r="B339" s="24"/>
      <c r="E339" s="182"/>
    </row>
    <row r="340" spans="2:5">
      <c r="B340" s="24"/>
      <c r="E340" s="182"/>
    </row>
    <row r="341" spans="2:5">
      <c r="B341" s="24"/>
      <c r="E341" s="182"/>
    </row>
    <row r="342" spans="2:5">
      <c r="B342" s="24"/>
      <c r="E342" s="182"/>
    </row>
    <row r="343" spans="2:5">
      <c r="B343" s="24"/>
      <c r="E343" s="182"/>
    </row>
    <row r="344" spans="2:5">
      <c r="B344" s="24"/>
      <c r="E344" s="182"/>
    </row>
    <row r="345" spans="2:5">
      <c r="B345" s="24"/>
      <c r="E345" s="182"/>
    </row>
    <row r="346" spans="2:5">
      <c r="B346" s="24"/>
      <c r="E346" s="182"/>
    </row>
    <row r="347" spans="2:5">
      <c r="B347" s="24"/>
      <c r="E347" s="182"/>
    </row>
    <row r="348" spans="2:5">
      <c r="B348" s="24"/>
      <c r="E348" s="182"/>
    </row>
    <row r="349" spans="2:5">
      <c r="B349" s="24"/>
      <c r="E349" s="182"/>
    </row>
    <row r="350" spans="2:5">
      <c r="B350" s="24"/>
      <c r="E350" s="182"/>
    </row>
    <row r="351" spans="2:5">
      <c r="B351" s="24"/>
      <c r="E351" s="182"/>
    </row>
    <row r="352" spans="2:5">
      <c r="B352" s="24"/>
      <c r="E352" s="182"/>
    </row>
    <row r="353" spans="2:5">
      <c r="B353" s="24"/>
      <c r="E353" s="182"/>
    </row>
    <row r="354" spans="2:5">
      <c r="B354" s="24"/>
      <c r="E354" s="182"/>
    </row>
    <row r="355" spans="2:5">
      <c r="B355" s="24"/>
      <c r="E355" s="182"/>
    </row>
    <row r="356" spans="2:5">
      <c r="B356" s="24"/>
      <c r="E356" s="182"/>
    </row>
    <row r="357" spans="2:5">
      <c r="B357" s="24"/>
      <c r="E357" s="182"/>
    </row>
    <row r="358" spans="2:5">
      <c r="B358" s="24"/>
      <c r="E358" s="182"/>
    </row>
    <row r="359" spans="2:5">
      <c r="B359" s="24"/>
      <c r="E359" s="182"/>
    </row>
    <row r="360" spans="2:5">
      <c r="B360" s="24"/>
      <c r="E360" s="182"/>
    </row>
    <row r="361" spans="2:5">
      <c r="B361" s="24"/>
      <c r="E361" s="182"/>
    </row>
    <row r="362" spans="2:5">
      <c r="B362" s="24"/>
      <c r="E362" s="182"/>
    </row>
    <row r="363" spans="2:5">
      <c r="B363" s="24"/>
      <c r="E363" s="182"/>
    </row>
    <row r="364" spans="2:5">
      <c r="B364" s="24"/>
      <c r="E364" s="182"/>
    </row>
    <row r="365" spans="2:5">
      <c r="B365" s="24"/>
      <c r="E365" s="182"/>
    </row>
    <row r="366" spans="2:5">
      <c r="B366" s="24"/>
      <c r="E366" s="182"/>
    </row>
    <row r="367" spans="2:5">
      <c r="B367" s="24"/>
      <c r="E367" s="182"/>
    </row>
    <row r="368" spans="2:5">
      <c r="B368" s="24"/>
      <c r="E368" s="182"/>
    </row>
    <row r="369" spans="2:5">
      <c r="B369" s="24"/>
      <c r="E369" s="182"/>
    </row>
    <row r="370" spans="2:5">
      <c r="B370" s="24"/>
      <c r="E370" s="182"/>
    </row>
    <row r="371" spans="2:5">
      <c r="B371" s="24"/>
      <c r="E371" s="182"/>
    </row>
    <row r="372" spans="2:5">
      <c r="B372" s="24"/>
      <c r="E372" s="182"/>
    </row>
    <row r="373" spans="2:5">
      <c r="B373" s="24"/>
      <c r="E373" s="182"/>
    </row>
    <row r="374" spans="2:5">
      <c r="B374" s="24"/>
      <c r="E374" s="182"/>
    </row>
    <row r="375" spans="2:5">
      <c r="B375" s="24"/>
      <c r="E375" s="182"/>
    </row>
    <row r="376" spans="2:5">
      <c r="B376" s="24"/>
      <c r="E376" s="182"/>
    </row>
    <row r="377" spans="2:5">
      <c r="B377" s="24"/>
      <c r="E377" s="182"/>
    </row>
    <row r="378" spans="2:5">
      <c r="B378" s="24"/>
      <c r="E378" s="182"/>
    </row>
    <row r="379" spans="2:5">
      <c r="B379" s="24"/>
      <c r="E379" s="182"/>
    </row>
    <row r="380" spans="2:5">
      <c r="B380" s="24"/>
      <c r="E380" s="182"/>
    </row>
    <row r="381" spans="2:5">
      <c r="B381" s="24"/>
      <c r="E381" s="182"/>
    </row>
    <row r="382" spans="2:5">
      <c r="B382" s="24"/>
      <c r="E382" s="182"/>
    </row>
    <row r="383" spans="2:5">
      <c r="B383" s="24"/>
      <c r="E383" s="182"/>
    </row>
    <row r="384" spans="2:5">
      <c r="B384" s="24"/>
      <c r="E384" s="182"/>
    </row>
    <row r="385" spans="2:5">
      <c r="B385" s="24"/>
      <c r="E385" s="182"/>
    </row>
    <row r="386" spans="2:5">
      <c r="B386" s="24"/>
      <c r="E386" s="182"/>
    </row>
    <row r="387" spans="2:5">
      <c r="B387" s="24"/>
      <c r="E387" s="182"/>
    </row>
    <row r="388" spans="2:5">
      <c r="B388" s="24"/>
      <c r="E388" s="182"/>
    </row>
    <row r="389" spans="2:5">
      <c r="B389" s="24"/>
      <c r="E389" s="182"/>
    </row>
    <row r="390" spans="2:5">
      <c r="B390" s="24"/>
      <c r="E390" s="182"/>
    </row>
    <row r="391" spans="2:5">
      <c r="B391" s="24"/>
      <c r="E391" s="182"/>
    </row>
    <row r="392" spans="2:5">
      <c r="B392" s="24"/>
      <c r="E392" s="182"/>
    </row>
    <row r="393" spans="2:5">
      <c r="B393" s="24"/>
      <c r="E393" s="182"/>
    </row>
    <row r="394" spans="2:5">
      <c r="B394" s="24"/>
      <c r="E394" s="182"/>
    </row>
    <row r="395" spans="2:5">
      <c r="B395" s="24"/>
      <c r="E395" s="182"/>
    </row>
    <row r="396" spans="2:5">
      <c r="B396" s="24"/>
      <c r="E396" s="182"/>
    </row>
    <row r="397" spans="2:5">
      <c r="B397" s="24"/>
      <c r="E397" s="182"/>
    </row>
    <row r="398" spans="2:5">
      <c r="B398" s="24"/>
      <c r="E398" s="182"/>
    </row>
    <row r="399" spans="2:5">
      <c r="B399" s="24"/>
      <c r="E399" s="182"/>
    </row>
    <row r="400" spans="2:5">
      <c r="B400" s="24"/>
      <c r="E400" s="182"/>
    </row>
    <row r="401" spans="2:5">
      <c r="B401" s="24"/>
      <c r="E401" s="182"/>
    </row>
    <row r="402" spans="2:5">
      <c r="B402" s="24"/>
      <c r="E402" s="182"/>
    </row>
    <row r="403" spans="2:5">
      <c r="B403" s="24"/>
      <c r="E403" s="182"/>
    </row>
    <row r="404" spans="2:5">
      <c r="B404" s="24"/>
      <c r="E404" s="182"/>
    </row>
    <row r="405" spans="2:5">
      <c r="B405" s="24"/>
      <c r="E405" s="182"/>
    </row>
    <row r="406" spans="2:5">
      <c r="B406" s="24"/>
      <c r="E406" s="182"/>
    </row>
    <row r="407" spans="2:5">
      <c r="B407" s="24"/>
      <c r="E407" s="182"/>
    </row>
    <row r="408" spans="2:5">
      <c r="B408" s="24"/>
      <c r="E408" s="182"/>
    </row>
    <row r="409" spans="2:5">
      <c r="B409" s="24"/>
      <c r="E409" s="182"/>
    </row>
    <row r="410" spans="2:5">
      <c r="B410" s="24"/>
      <c r="E410" s="182"/>
    </row>
    <row r="411" spans="2:5">
      <c r="B411" s="24"/>
      <c r="E411" s="182"/>
    </row>
    <row r="412" spans="2:5">
      <c r="B412" s="24"/>
      <c r="E412" s="182"/>
    </row>
    <row r="413" spans="2:5">
      <c r="B413" s="24"/>
      <c r="E413" s="182"/>
    </row>
    <row r="414" spans="2:5">
      <c r="B414" s="24"/>
      <c r="E414" s="182"/>
    </row>
    <row r="415" spans="2:5">
      <c r="B415" s="24"/>
      <c r="E415" s="182"/>
    </row>
    <row r="416" spans="2:5">
      <c r="B416" s="24"/>
      <c r="E416" s="182"/>
    </row>
    <row r="417" spans="2:5">
      <c r="B417" s="24"/>
      <c r="E417" s="182"/>
    </row>
    <row r="418" spans="2:5">
      <c r="B418" s="24"/>
      <c r="E418" s="182"/>
    </row>
    <row r="419" spans="2:5">
      <c r="B419" s="24"/>
      <c r="E419" s="182"/>
    </row>
    <row r="420" spans="2:5">
      <c r="B420" s="24"/>
      <c r="E420" s="182"/>
    </row>
    <row r="421" spans="2:5">
      <c r="B421" s="24"/>
      <c r="E421" s="182"/>
    </row>
    <row r="422" spans="2:5">
      <c r="B422" s="24"/>
      <c r="E422" s="182"/>
    </row>
    <row r="423" spans="2:5">
      <c r="B423" s="24"/>
      <c r="E423" s="182"/>
    </row>
    <row r="424" spans="2:5">
      <c r="B424" s="24"/>
      <c r="E424" s="182"/>
    </row>
    <row r="425" spans="2:5">
      <c r="B425" s="24"/>
      <c r="E425" s="182"/>
    </row>
    <row r="426" spans="2:5">
      <c r="B426" s="24"/>
      <c r="E426" s="182"/>
    </row>
    <row r="427" spans="2:5">
      <c r="B427" s="24"/>
      <c r="E427" s="182"/>
    </row>
    <row r="428" spans="2:5">
      <c r="B428" s="24"/>
      <c r="E428" s="182"/>
    </row>
    <row r="429" spans="2:5">
      <c r="B429" s="24"/>
      <c r="E429" s="182"/>
    </row>
    <row r="430" spans="2:5">
      <c r="B430" s="24"/>
      <c r="E430" s="182"/>
    </row>
    <row r="431" spans="2:5">
      <c r="B431" s="24"/>
      <c r="E431" s="182"/>
    </row>
    <row r="432" spans="2:5">
      <c r="B432" s="24"/>
      <c r="E432" s="182"/>
    </row>
    <row r="433" spans="2:5">
      <c r="B433" s="24"/>
      <c r="E433" s="182"/>
    </row>
    <row r="434" spans="2:5">
      <c r="B434" s="24"/>
      <c r="E434" s="182"/>
    </row>
    <row r="435" spans="2:5">
      <c r="B435" s="24"/>
      <c r="E435" s="182"/>
    </row>
    <row r="436" spans="2:5">
      <c r="B436" s="24"/>
      <c r="E436" s="182"/>
    </row>
    <row r="437" spans="2:5">
      <c r="B437" s="24"/>
      <c r="E437" s="182"/>
    </row>
    <row r="438" spans="2:5">
      <c r="B438" s="24"/>
      <c r="E438" s="182"/>
    </row>
    <row r="439" spans="2:5">
      <c r="B439" s="24"/>
      <c r="E439" s="182"/>
    </row>
    <row r="440" spans="2:5">
      <c r="B440" s="24"/>
      <c r="E440" s="182"/>
    </row>
    <row r="441" spans="2:5">
      <c r="B441" s="24"/>
      <c r="E441" s="182"/>
    </row>
    <row r="442" spans="2:5">
      <c r="B442" s="24"/>
      <c r="E442" s="182"/>
    </row>
    <row r="443" spans="2:5">
      <c r="B443" s="24"/>
      <c r="E443" s="182"/>
    </row>
    <row r="444" spans="2:5">
      <c r="B444" s="24"/>
      <c r="E444" s="182"/>
    </row>
    <row r="445" spans="2:5">
      <c r="B445" s="24"/>
      <c r="E445" s="182"/>
    </row>
    <row r="446" spans="2:5">
      <c r="B446" s="24"/>
      <c r="E446" s="182"/>
    </row>
    <row r="447" spans="2:5">
      <c r="B447" s="24"/>
      <c r="E447" s="182"/>
    </row>
    <row r="448" spans="2:5">
      <c r="B448" s="24"/>
      <c r="E448" s="182"/>
    </row>
    <row r="449" spans="2:5">
      <c r="B449" s="24"/>
      <c r="E449" s="182"/>
    </row>
    <row r="450" spans="2:5">
      <c r="B450" s="24"/>
      <c r="E450" s="182"/>
    </row>
    <row r="451" spans="2:5">
      <c r="B451" s="24"/>
      <c r="E451" s="182"/>
    </row>
    <row r="452" spans="2:5">
      <c r="B452" s="24"/>
      <c r="E452" s="182"/>
    </row>
    <row r="453" spans="2:5">
      <c r="B453" s="24"/>
      <c r="E453" s="182"/>
    </row>
    <row r="454" spans="2:5">
      <c r="B454" s="24"/>
      <c r="E454" s="182"/>
    </row>
    <row r="455" spans="2:5">
      <c r="B455" s="24"/>
      <c r="E455" s="182"/>
    </row>
    <row r="456" spans="2:5">
      <c r="B456" s="24"/>
      <c r="E456" s="182"/>
    </row>
    <row r="457" spans="2:5">
      <c r="B457" s="24"/>
      <c r="E457" s="182"/>
    </row>
    <row r="458" spans="2:5">
      <c r="B458" s="24"/>
      <c r="E458" s="182"/>
    </row>
    <row r="459" spans="2:5">
      <c r="B459" s="24"/>
      <c r="E459" s="182"/>
    </row>
    <row r="460" spans="2:5">
      <c r="B460" s="24"/>
      <c r="E460" s="182"/>
    </row>
    <row r="461" spans="2:5">
      <c r="B461" s="24"/>
      <c r="E461" s="182"/>
    </row>
    <row r="462" spans="2:5">
      <c r="B462" s="24"/>
      <c r="E462" s="182"/>
    </row>
    <row r="463" spans="2:5">
      <c r="B463" s="24"/>
      <c r="E463" s="182"/>
    </row>
    <row r="464" spans="2:5">
      <c r="B464" s="24"/>
      <c r="E464" s="182"/>
    </row>
    <row r="465" spans="2:5">
      <c r="B465" s="24"/>
      <c r="E465" s="182"/>
    </row>
    <row r="466" spans="2:5">
      <c r="B466" s="24"/>
      <c r="E466" s="182"/>
    </row>
    <row r="467" spans="2:5">
      <c r="B467" s="24"/>
      <c r="E467" s="182"/>
    </row>
    <row r="468" spans="2:5">
      <c r="B468" s="24"/>
      <c r="E468" s="182"/>
    </row>
    <row r="469" spans="2:5">
      <c r="B469" s="24"/>
      <c r="E469" s="182"/>
    </row>
    <row r="470" spans="2:5">
      <c r="B470" s="24"/>
      <c r="E470" s="182"/>
    </row>
    <row r="471" spans="2:5">
      <c r="B471" s="24"/>
      <c r="E471" s="182"/>
    </row>
    <row r="472" spans="2:5">
      <c r="B472" s="24"/>
      <c r="E472" s="182"/>
    </row>
    <row r="473" spans="2:5">
      <c r="B473" s="24"/>
      <c r="E473" s="182"/>
    </row>
    <row r="474" spans="2:5">
      <c r="B474" s="24"/>
      <c r="E474" s="182"/>
    </row>
    <row r="475" spans="2:5">
      <c r="B475" s="24"/>
      <c r="E475" s="182"/>
    </row>
    <row r="476" spans="2:5">
      <c r="B476" s="24"/>
      <c r="E476" s="182"/>
    </row>
    <row r="477" spans="2:5">
      <c r="B477" s="24"/>
      <c r="E477" s="182"/>
    </row>
    <row r="478" spans="2:5">
      <c r="B478" s="24"/>
      <c r="E478" s="182"/>
    </row>
    <row r="479" spans="2:5">
      <c r="B479" s="24"/>
      <c r="E479" s="182"/>
    </row>
    <row r="480" spans="2:5">
      <c r="B480" s="24"/>
      <c r="E480" s="182"/>
    </row>
    <row r="481" spans="2:5">
      <c r="B481" s="24"/>
      <c r="E481" s="182"/>
    </row>
    <row r="482" spans="2:5">
      <c r="B482" s="24"/>
      <c r="E482" s="182"/>
    </row>
    <row r="483" spans="2:5">
      <c r="B483" s="24"/>
      <c r="E483" s="182"/>
    </row>
    <row r="484" spans="2:5">
      <c r="B484" s="24"/>
      <c r="E484" s="182"/>
    </row>
    <row r="485" spans="2:5">
      <c r="B485" s="24"/>
      <c r="E485" s="182"/>
    </row>
    <row r="486" spans="2:5">
      <c r="B486" s="24"/>
      <c r="E486" s="182"/>
    </row>
    <row r="487" spans="2:5">
      <c r="B487" s="24"/>
      <c r="E487" s="182"/>
    </row>
    <row r="488" spans="2:5">
      <c r="B488" s="24"/>
      <c r="E488" s="182"/>
    </row>
    <row r="489" spans="2:5">
      <c r="B489" s="24"/>
      <c r="E489" s="182"/>
    </row>
    <row r="490" spans="2:5">
      <c r="B490" s="24"/>
      <c r="E490" s="182"/>
    </row>
    <row r="491" spans="2:5">
      <c r="B491" s="24"/>
      <c r="E491" s="182"/>
    </row>
    <row r="492" spans="2:5">
      <c r="B492" s="24"/>
      <c r="E492" s="182"/>
    </row>
    <row r="493" spans="2:5">
      <c r="B493" s="24"/>
      <c r="E493" s="182"/>
    </row>
    <row r="494" spans="2:5">
      <c r="B494" s="24"/>
      <c r="E494" s="182"/>
    </row>
    <row r="495" spans="2:5">
      <c r="B495" s="24"/>
      <c r="E495" s="182"/>
    </row>
    <row r="496" spans="2:5">
      <c r="B496" s="24"/>
      <c r="E496" s="182"/>
    </row>
    <row r="497" spans="2:5">
      <c r="B497" s="24"/>
      <c r="E497" s="182"/>
    </row>
    <row r="498" spans="2:5">
      <c r="B498" s="24"/>
      <c r="E498" s="182"/>
    </row>
    <row r="499" spans="2:5">
      <c r="E499" s="182"/>
    </row>
    <row r="500" spans="2:5">
      <c r="E500" s="182"/>
    </row>
    <row r="501" spans="2:5">
      <c r="E501" s="182"/>
    </row>
    <row r="502" spans="2:5">
      <c r="E502" s="182"/>
    </row>
    <row r="503" spans="2:5">
      <c r="E503" s="182"/>
    </row>
    <row r="504" spans="2:5">
      <c r="E504" s="182"/>
    </row>
    <row r="505" spans="2:5">
      <c r="E505" s="182"/>
    </row>
    <row r="506" spans="2:5">
      <c r="E506" s="182"/>
    </row>
    <row r="507" spans="2:5">
      <c r="E507" s="182"/>
    </row>
    <row r="508" spans="2:5">
      <c r="E508" s="182"/>
    </row>
    <row r="509" spans="2:5">
      <c r="E509" s="182"/>
    </row>
    <row r="510" spans="2:5">
      <c r="E510" s="182"/>
    </row>
    <row r="511" spans="2:5">
      <c r="E511" s="182"/>
    </row>
    <row r="512" spans="2:5">
      <c r="E512" s="182"/>
    </row>
    <row r="513" spans="2:5">
      <c r="E513" s="182"/>
    </row>
    <row r="514" spans="2:5">
      <c r="E514" s="182"/>
    </row>
    <row r="515" spans="2:5">
      <c r="B515" s="24"/>
      <c r="E515" s="182"/>
    </row>
    <row r="516" spans="2:5">
      <c r="B516" s="24"/>
      <c r="E516" s="182"/>
    </row>
    <row r="517" spans="2:5">
      <c r="B517" s="24"/>
      <c r="E517" s="182"/>
    </row>
    <row r="518" spans="2:5">
      <c r="B518" s="24"/>
      <c r="E518" s="182"/>
    </row>
    <row r="519" spans="2:5">
      <c r="B519" s="24"/>
      <c r="E519" s="182"/>
    </row>
    <row r="520" spans="2:5">
      <c r="B520" s="24"/>
      <c r="E520" s="182"/>
    </row>
    <row r="521" spans="2:5">
      <c r="B521" s="24"/>
      <c r="E521" s="182"/>
    </row>
    <row r="522" spans="2:5">
      <c r="B522" s="24"/>
      <c r="E522" s="182"/>
    </row>
    <row r="523" spans="2:5">
      <c r="B523" s="24"/>
      <c r="E523" s="182"/>
    </row>
    <row r="524" spans="2:5">
      <c r="B524" s="24"/>
      <c r="E524" s="182"/>
    </row>
    <row r="525" spans="2:5">
      <c r="B525" s="24"/>
      <c r="E525" s="182"/>
    </row>
    <row r="526" spans="2:5">
      <c r="B526" s="24"/>
      <c r="E526" s="182"/>
    </row>
    <row r="527" spans="2:5">
      <c r="B527" s="24"/>
      <c r="E527" s="182"/>
    </row>
    <row r="528" spans="2:5">
      <c r="B528" s="24"/>
      <c r="E528" s="182"/>
    </row>
    <row r="529" spans="2:5">
      <c r="B529" s="24"/>
      <c r="E529" s="182"/>
    </row>
    <row r="530" spans="2:5">
      <c r="B530" s="24"/>
      <c r="E530" s="182"/>
    </row>
    <row r="531" spans="2:5">
      <c r="B531" s="24"/>
      <c r="E531" s="182"/>
    </row>
    <row r="532" spans="2:5">
      <c r="B532" s="24"/>
      <c r="E532" s="182"/>
    </row>
    <row r="533" spans="2:5">
      <c r="B533" s="24"/>
      <c r="E533" s="182"/>
    </row>
    <row r="534" spans="2:5">
      <c r="B534" s="24"/>
      <c r="E534" s="182"/>
    </row>
    <row r="535" spans="2:5">
      <c r="B535" s="24"/>
      <c r="E535" s="182"/>
    </row>
    <row r="536" spans="2:5">
      <c r="B536" s="24"/>
      <c r="E536" s="182"/>
    </row>
    <row r="537" spans="2:5">
      <c r="B537" s="24"/>
      <c r="E537" s="182"/>
    </row>
    <row r="538" spans="2:5">
      <c r="B538" s="24"/>
      <c r="E538" s="182"/>
    </row>
    <row r="539" spans="2:5">
      <c r="B539" s="24"/>
      <c r="E539" s="182"/>
    </row>
    <row r="540" spans="2:5">
      <c r="B540" s="24"/>
      <c r="E540" s="182"/>
    </row>
    <row r="541" spans="2:5">
      <c r="B541" s="24"/>
      <c r="E541" s="182"/>
    </row>
    <row r="542" spans="2:5">
      <c r="B542" s="24"/>
      <c r="E542" s="182"/>
    </row>
    <row r="543" spans="2:5">
      <c r="B543" s="24"/>
      <c r="E543" s="182"/>
    </row>
    <row r="544" spans="2:5">
      <c r="B544" s="24"/>
      <c r="E544" s="182"/>
    </row>
    <row r="545" spans="2:2">
      <c r="B545" s="24"/>
    </row>
    <row r="546" spans="2:2">
      <c r="B546" s="24"/>
    </row>
    <row r="547" spans="2:2">
      <c r="B547" s="24"/>
    </row>
    <row r="551" spans="2:2">
      <c r="B551" s="24"/>
    </row>
    <row r="552" spans="2:2">
      <c r="B552" s="24"/>
    </row>
    <row r="553" spans="2:2">
      <c r="B553" s="24"/>
    </row>
    <row r="554" spans="2:2">
      <c r="B554" s="24"/>
    </row>
    <row r="555" spans="2:2">
      <c r="B555" s="24"/>
    </row>
    <row r="556" spans="2:2">
      <c r="B556" s="24"/>
    </row>
    <row r="557" spans="2:2">
      <c r="B557" s="24"/>
    </row>
    <row r="558" spans="2:2">
      <c r="B558" s="24"/>
    </row>
    <row r="559" spans="2:2">
      <c r="B559" s="24"/>
    </row>
    <row r="560" spans="2:2">
      <c r="B560" s="24"/>
    </row>
    <row r="561" spans="2:2">
      <c r="B561" s="24"/>
    </row>
    <row r="562" spans="2:2">
      <c r="B562" s="24"/>
    </row>
    <row r="563" spans="2:2">
      <c r="B563" s="24"/>
    </row>
    <row r="564" spans="2:2">
      <c r="B564" s="24"/>
    </row>
    <row r="565" spans="2:2">
      <c r="B565" s="24"/>
    </row>
    <row r="566" spans="2:2">
      <c r="B566" s="24"/>
    </row>
    <row r="567" spans="2:2">
      <c r="B567" s="24"/>
    </row>
    <row r="568" spans="2:2">
      <c r="B568" s="24"/>
    </row>
    <row r="569" spans="2:2">
      <c r="B569" s="24"/>
    </row>
    <row r="570" spans="2:2">
      <c r="B570" s="24"/>
    </row>
    <row r="571" spans="2:2">
      <c r="B571" s="24"/>
    </row>
  </sheetData>
  <pageMargins left="0.7" right="0.7" top="0.79625000000000001"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xl/worksheets/sheet9.xml><?xml version="1.0" encoding="utf-8"?>
<worksheet xmlns="http://schemas.openxmlformats.org/spreadsheetml/2006/main" xmlns:r="http://schemas.openxmlformats.org/officeDocument/2006/relationships">
  <sheetPr>
    <tabColor rgb="FFFFC000"/>
  </sheetPr>
  <dimension ref="A1:G75"/>
  <sheetViews>
    <sheetView showZeros="0" view="pageBreakPreview" zoomScale="85" zoomScaleNormal="85" zoomScaleSheetLayoutView="85" workbookViewId="0">
      <selection activeCell="E2" sqref="E2:F75"/>
    </sheetView>
  </sheetViews>
  <sheetFormatPr defaultColWidth="8.85546875" defaultRowHeight="15"/>
  <cols>
    <col min="1" max="1" width="8.7109375" style="18" customWidth="1"/>
    <col min="2" max="2" width="45" style="1" customWidth="1"/>
    <col min="3" max="3" width="8.5703125" style="29" customWidth="1"/>
    <col min="4" max="4" width="10.7109375" style="40" customWidth="1"/>
    <col min="5" max="5" width="13.7109375" style="163" customWidth="1"/>
    <col min="6" max="6" width="16.7109375" style="163" customWidth="1"/>
    <col min="7" max="10" width="8.85546875" style="2"/>
    <col min="11" max="11" width="61.140625" style="2" bestFit="1" customWidth="1"/>
    <col min="12" max="16384" width="8.85546875" style="2"/>
  </cols>
  <sheetData>
    <row r="1" spans="1:6">
      <c r="A1" s="27" t="s">
        <v>260</v>
      </c>
      <c r="B1" s="143" t="s">
        <v>261</v>
      </c>
      <c r="C1" s="28" t="s">
        <v>262</v>
      </c>
      <c r="D1" s="148" t="s">
        <v>263</v>
      </c>
      <c r="E1" s="194" t="s">
        <v>264</v>
      </c>
      <c r="F1" s="195" t="s">
        <v>265</v>
      </c>
    </row>
    <row r="3" spans="1:6">
      <c r="A3" s="17" t="s">
        <v>139</v>
      </c>
      <c r="B3" s="25" t="s">
        <v>474</v>
      </c>
      <c r="E3" s="162"/>
    </row>
    <row r="4" spans="1:6">
      <c r="A4" s="17"/>
      <c r="B4" s="25"/>
      <c r="E4" s="162"/>
    </row>
    <row r="5" spans="1:6" ht="105">
      <c r="A5" s="17"/>
      <c r="B5" s="1" t="s">
        <v>495</v>
      </c>
      <c r="E5" s="162"/>
    </row>
    <row r="6" spans="1:6" ht="75">
      <c r="A6" s="17"/>
      <c r="B6" s="1" t="s">
        <v>450</v>
      </c>
      <c r="E6" s="162"/>
    </row>
    <row r="7" spans="1:6" ht="105">
      <c r="A7" s="17"/>
      <c r="B7" s="1" t="s">
        <v>451</v>
      </c>
      <c r="E7" s="162"/>
    </row>
    <row r="8" spans="1:6" ht="45">
      <c r="A8" s="17"/>
      <c r="B8" s="1" t="s">
        <v>452</v>
      </c>
      <c r="E8" s="162"/>
    </row>
    <row r="9" spans="1:6" ht="150">
      <c r="A9" s="17"/>
      <c r="B9" s="1" t="s">
        <v>453</v>
      </c>
      <c r="E9" s="162"/>
    </row>
    <row r="10" spans="1:6" ht="90">
      <c r="A10" s="17"/>
      <c r="B10" s="1" t="s">
        <v>454</v>
      </c>
      <c r="E10" s="162"/>
    </row>
    <row r="11" spans="1:6" ht="45">
      <c r="A11" s="17"/>
      <c r="B11" s="1" t="s">
        <v>1488</v>
      </c>
      <c r="E11" s="162"/>
    </row>
    <row r="12" spans="1:6" ht="45">
      <c r="A12" s="17"/>
      <c r="B12" s="1" t="s">
        <v>455</v>
      </c>
      <c r="E12" s="162"/>
    </row>
    <row r="13" spans="1:6" ht="60">
      <c r="A13" s="17"/>
      <c r="B13" s="1" t="s">
        <v>456</v>
      </c>
      <c r="E13" s="162"/>
    </row>
    <row r="14" spans="1:6" ht="30">
      <c r="A14" s="17"/>
      <c r="B14" s="1" t="s">
        <v>457</v>
      </c>
      <c r="E14" s="162"/>
    </row>
    <row r="15" spans="1:6" ht="60">
      <c r="A15" s="17"/>
      <c r="B15" s="1" t="s">
        <v>458</v>
      </c>
      <c r="E15" s="162"/>
    </row>
    <row r="16" spans="1:6" ht="60">
      <c r="A16" s="17"/>
      <c r="B16" s="1" t="s">
        <v>459</v>
      </c>
      <c r="E16" s="162"/>
    </row>
    <row r="17" spans="1:5" ht="83.25" customHeight="1">
      <c r="A17" s="17"/>
      <c r="B17" s="1" t="s">
        <v>460</v>
      </c>
      <c r="E17" s="162"/>
    </row>
    <row r="18" spans="1:5" ht="128.25" customHeight="1">
      <c r="A18" s="17"/>
      <c r="B18" s="1" t="s">
        <v>485</v>
      </c>
      <c r="E18" s="162"/>
    </row>
    <row r="19" spans="1:5" ht="30">
      <c r="A19" s="17"/>
      <c r="B19" s="1" t="s">
        <v>461</v>
      </c>
      <c r="E19" s="162"/>
    </row>
    <row r="20" spans="1:5" ht="75">
      <c r="A20" s="17"/>
      <c r="B20" s="1" t="s">
        <v>462</v>
      </c>
      <c r="E20" s="162"/>
    </row>
    <row r="21" spans="1:5">
      <c r="A21" s="17"/>
      <c r="E21" s="162"/>
    </row>
    <row r="22" spans="1:5">
      <c r="A22" s="17"/>
      <c r="E22" s="162"/>
    </row>
    <row r="23" spans="1:5">
      <c r="A23" s="17"/>
      <c r="E23" s="162"/>
    </row>
    <row r="24" spans="1:5" ht="60">
      <c r="A24" s="17">
        <f>COUNT($A$4:A23)+1</f>
        <v>1</v>
      </c>
      <c r="B24" s="1" t="s">
        <v>1483</v>
      </c>
      <c r="E24" s="162"/>
    </row>
    <row r="25" spans="1:5" ht="45">
      <c r="A25" s="17"/>
      <c r="B25" s="1" t="s">
        <v>1484</v>
      </c>
      <c r="E25" s="162"/>
    </row>
    <row r="26" spans="1:5" ht="150">
      <c r="A26" s="17"/>
      <c r="B26" s="1" t="s">
        <v>1485</v>
      </c>
      <c r="E26" s="162"/>
    </row>
    <row r="27" spans="1:5" ht="45">
      <c r="A27" s="17"/>
      <c r="B27" s="1" t="s">
        <v>463</v>
      </c>
      <c r="E27" s="162"/>
    </row>
    <row r="28" spans="1:5" ht="75">
      <c r="A28" s="17"/>
      <c r="B28" s="1" t="s">
        <v>1486</v>
      </c>
      <c r="E28" s="162"/>
    </row>
    <row r="29" spans="1:5">
      <c r="A29" s="17"/>
      <c r="B29" s="1" t="s">
        <v>1487</v>
      </c>
      <c r="E29" s="162"/>
    </row>
    <row r="30" spans="1:5">
      <c r="A30" s="17"/>
      <c r="B30" s="1" t="s">
        <v>493</v>
      </c>
      <c r="C30" s="29" t="s">
        <v>21</v>
      </c>
      <c r="D30" s="40">
        <f>220*1.25</f>
        <v>275</v>
      </c>
      <c r="E30" s="162"/>
    </row>
    <row r="31" spans="1:5">
      <c r="A31" s="17"/>
      <c r="B31" s="1" t="s">
        <v>494</v>
      </c>
      <c r="C31" s="29" t="s">
        <v>21</v>
      </c>
      <c r="D31" s="40">
        <v>80</v>
      </c>
      <c r="E31" s="162"/>
    </row>
    <row r="32" spans="1:5">
      <c r="A32" s="17"/>
      <c r="E32" s="162"/>
    </row>
    <row r="33" spans="1:6">
      <c r="A33" s="17"/>
      <c r="E33" s="162"/>
    </row>
    <row r="34" spans="1:6" ht="30">
      <c r="A34" s="17">
        <f>COUNT($A$4:A33)+1</f>
        <v>2</v>
      </c>
      <c r="B34" s="1" t="s">
        <v>1470</v>
      </c>
      <c r="E34" s="162"/>
    </row>
    <row r="35" spans="1:6" ht="120">
      <c r="A35" s="549"/>
      <c r="B35" s="1" t="s">
        <v>1480</v>
      </c>
      <c r="E35" s="162"/>
    </row>
    <row r="36" spans="1:6">
      <c r="A36" s="17"/>
      <c r="B36" s="1" t="s">
        <v>1471</v>
      </c>
      <c r="E36" s="162"/>
    </row>
    <row r="37" spans="1:6" ht="60">
      <c r="A37" s="17"/>
      <c r="B37" s="1" t="s">
        <v>472</v>
      </c>
      <c r="E37" s="162"/>
    </row>
    <row r="38" spans="1:6" ht="45">
      <c r="A38" s="17"/>
      <c r="B38" s="1" t="s">
        <v>464</v>
      </c>
      <c r="E38" s="162"/>
    </row>
    <row r="39" spans="1:6" ht="30">
      <c r="A39" s="17"/>
      <c r="B39" s="1" t="s">
        <v>1472</v>
      </c>
      <c r="C39" s="29" t="s">
        <v>21</v>
      </c>
      <c r="D39" s="40">
        <f>145*1.3</f>
        <v>188.5</v>
      </c>
      <c r="E39" s="196"/>
    </row>
    <row r="40" spans="1:6">
      <c r="A40" s="17"/>
      <c r="C40" s="2"/>
      <c r="D40" s="2"/>
      <c r="E40" s="2"/>
      <c r="F40" s="2"/>
    </row>
    <row r="41" spans="1:6">
      <c r="A41" s="17"/>
      <c r="E41" s="162"/>
    </row>
    <row r="42" spans="1:6">
      <c r="A42" s="17">
        <f>COUNT($A$4:A41)+1</f>
        <v>3</v>
      </c>
      <c r="B42" s="1" t="s">
        <v>1473</v>
      </c>
      <c r="E42" s="162"/>
    </row>
    <row r="43" spans="1:6" ht="300">
      <c r="A43" s="17"/>
      <c r="B43" s="1" t="s">
        <v>1474</v>
      </c>
      <c r="E43" s="162"/>
    </row>
    <row r="44" spans="1:6" ht="75">
      <c r="A44" s="17"/>
      <c r="B44" s="1" t="s">
        <v>468</v>
      </c>
      <c r="E44" s="162"/>
    </row>
    <row r="45" spans="1:6" ht="165">
      <c r="A45" s="17"/>
      <c r="B45" s="1" t="s">
        <v>1475</v>
      </c>
      <c r="E45" s="162"/>
    </row>
    <row r="46" spans="1:6" ht="60">
      <c r="A46" s="17"/>
      <c r="B46" s="1" t="s">
        <v>467</v>
      </c>
    </row>
    <row r="47" spans="1:6" ht="30">
      <c r="A47" s="17"/>
      <c r="B47" s="1" t="s">
        <v>1476</v>
      </c>
    </row>
    <row r="48" spans="1:6">
      <c r="A48" s="17"/>
      <c r="B48" s="1" t="s">
        <v>58</v>
      </c>
      <c r="C48" s="29" t="s">
        <v>18</v>
      </c>
      <c r="D48" s="40">
        <v>1</v>
      </c>
    </row>
    <row r="49" spans="1:7">
      <c r="A49" s="17"/>
      <c r="E49" s="162"/>
    </row>
    <row r="50" spans="1:7">
      <c r="A50" s="17"/>
      <c r="E50" s="162"/>
    </row>
    <row r="51" spans="1:7" ht="30">
      <c r="A51" s="17">
        <f>COUNT($A$4:A50)+1</f>
        <v>4</v>
      </c>
      <c r="B51" s="25" t="s">
        <v>469</v>
      </c>
      <c r="E51" s="162"/>
    </row>
    <row r="52" spans="1:7" ht="90">
      <c r="A52" s="17"/>
      <c r="B52" s="1" t="s">
        <v>1477</v>
      </c>
      <c r="E52" s="162"/>
    </row>
    <row r="53" spans="1:7" ht="30">
      <c r="A53" s="17"/>
      <c r="B53" s="1" t="s">
        <v>471</v>
      </c>
      <c r="E53" s="162"/>
    </row>
    <row r="54" spans="1:7">
      <c r="A54" s="17"/>
      <c r="B54" s="1" t="s">
        <v>470</v>
      </c>
      <c r="C54" s="29" t="s">
        <v>21</v>
      </c>
      <c r="D54" s="40">
        <v>800</v>
      </c>
    </row>
    <row r="55" spans="1:7">
      <c r="A55" s="17"/>
      <c r="E55" s="162"/>
    </row>
    <row r="56" spans="1:7">
      <c r="A56" s="17"/>
      <c r="E56" s="162"/>
    </row>
    <row r="57" spans="1:7" ht="90">
      <c r="A57" s="17">
        <f>COUNT($A$4:A56)+1</f>
        <v>5</v>
      </c>
      <c r="B57" s="1" t="s">
        <v>1478</v>
      </c>
      <c r="E57" s="162"/>
    </row>
    <row r="58" spans="1:7" ht="150">
      <c r="A58" s="17"/>
      <c r="B58" s="1" t="s">
        <v>1481</v>
      </c>
      <c r="E58" s="162"/>
    </row>
    <row r="59" spans="1:7" ht="30">
      <c r="A59" s="17"/>
      <c r="B59" s="1" t="s">
        <v>1479</v>
      </c>
      <c r="E59" s="162"/>
    </row>
    <row r="60" spans="1:7" ht="45">
      <c r="A60" s="17"/>
      <c r="B60" s="1" t="s">
        <v>465</v>
      </c>
      <c r="E60" s="162"/>
    </row>
    <row r="61" spans="1:7" ht="30">
      <c r="A61" s="17"/>
      <c r="B61" s="1" t="s">
        <v>466</v>
      </c>
      <c r="C61" s="29" t="s">
        <v>21</v>
      </c>
      <c r="D61" s="40">
        <f>(D39+D30+D31)</f>
        <v>543.5</v>
      </c>
      <c r="E61" s="162"/>
    </row>
    <row r="62" spans="1:7">
      <c r="A62" s="17"/>
      <c r="E62" s="162"/>
    </row>
    <row r="63" spans="1:7" s="119" customFormat="1" ht="30">
      <c r="A63" s="138">
        <f>COUNT($A$1:A62)+1</f>
        <v>6</v>
      </c>
      <c r="B63" s="144" t="s">
        <v>492</v>
      </c>
      <c r="C63" s="122"/>
      <c r="D63" s="146"/>
      <c r="E63" s="197"/>
      <c r="F63" s="163"/>
      <c r="G63" s="120"/>
    </row>
    <row r="64" spans="1:7" s="119" customFormat="1" ht="45">
      <c r="A64" s="138"/>
      <c r="B64" s="121" t="s">
        <v>1482</v>
      </c>
      <c r="C64" s="122"/>
      <c r="D64" s="146"/>
      <c r="E64" s="197"/>
      <c r="F64" s="163"/>
      <c r="G64" s="120"/>
    </row>
    <row r="65" spans="1:7" s="119" customFormat="1" ht="45">
      <c r="A65" s="142"/>
      <c r="B65" s="121" t="s">
        <v>486</v>
      </c>
      <c r="C65" s="122"/>
      <c r="D65" s="146"/>
      <c r="E65" s="197"/>
      <c r="F65" s="163"/>
      <c r="G65" s="120"/>
    </row>
    <row r="66" spans="1:7" s="119" customFormat="1" ht="60">
      <c r="A66" s="142"/>
      <c r="B66" s="121" t="s">
        <v>487</v>
      </c>
      <c r="C66" s="122"/>
      <c r="D66" s="146"/>
      <c r="E66" s="197"/>
      <c r="F66" s="163"/>
      <c r="G66" s="120"/>
    </row>
    <row r="67" spans="1:7" s="119" customFormat="1" ht="165">
      <c r="A67" s="142"/>
      <c r="B67" s="145" t="s">
        <v>488</v>
      </c>
      <c r="C67" s="122"/>
      <c r="D67" s="146"/>
      <c r="E67" s="197"/>
      <c r="F67" s="163"/>
      <c r="G67" s="120"/>
    </row>
    <row r="68" spans="1:7" s="119" customFormat="1" ht="165">
      <c r="A68" s="142"/>
      <c r="B68" s="121" t="s">
        <v>489</v>
      </c>
      <c r="C68" s="122"/>
      <c r="D68" s="146"/>
      <c r="E68" s="197"/>
      <c r="F68" s="163"/>
      <c r="G68" s="120"/>
    </row>
    <row r="69" spans="1:7" s="119" customFormat="1" ht="30">
      <c r="A69" s="142"/>
      <c r="B69" s="121" t="s">
        <v>490</v>
      </c>
      <c r="C69" s="122"/>
      <c r="D69" s="146"/>
      <c r="E69" s="197"/>
      <c r="F69" s="163"/>
      <c r="G69" s="120"/>
    </row>
    <row r="70" spans="1:7" s="119" customFormat="1" ht="30">
      <c r="A70" s="142"/>
      <c r="B70" s="121" t="s">
        <v>491</v>
      </c>
      <c r="C70" s="122" t="s">
        <v>283</v>
      </c>
      <c r="D70" s="147">
        <v>1</v>
      </c>
      <c r="E70" s="198"/>
      <c r="F70" s="163"/>
      <c r="G70" s="120"/>
    </row>
    <row r="71" spans="1:7">
      <c r="B71" s="6"/>
      <c r="C71" s="296"/>
      <c r="D71" s="297"/>
      <c r="E71" s="550"/>
      <c r="G71" s="12"/>
    </row>
    <row r="72" spans="1:7">
      <c r="A72" s="17"/>
      <c r="E72" s="162"/>
    </row>
    <row r="73" spans="1:7">
      <c r="A73" s="172" t="s">
        <v>139</v>
      </c>
      <c r="B73" s="173" t="s">
        <v>473</v>
      </c>
      <c r="C73" s="174"/>
      <c r="D73" s="175"/>
      <c r="E73" s="176"/>
      <c r="F73" s="177"/>
    </row>
    <row r="74" spans="1:7">
      <c r="E74" s="162"/>
    </row>
    <row r="75" spans="1:7">
      <c r="B75" s="24"/>
      <c r="E75" s="162"/>
    </row>
  </sheetData>
  <pageMargins left="0.7" right="0.7" top="0.81374999999999997" bottom="0.75" header="0.3" footer="0.3"/>
  <pageSetup paperSize="9" scale="84" orientation="portrait" r:id="rId1"/>
  <headerFooter>
    <oddHeader xml:space="preserve">&amp;L&amp;7ZAGREBAČKI HOLDING d.o.o., 
Ulica grada Vukovara 41, Zagreb
&amp;C&amp;7CJELOVITA OBNOVA ZGRADE JAVNE NAMJENE - 
''ŠKOLE'' HOSTELA GRAD MLADIH, GRANEŠINA
Aleja hrvatske mladeži 29, Zagreb
k.č. 7098, k.o. Granešina Nova&amp;R&amp;7ZOP: 12/24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naslovnica</vt:lpstr>
      <vt:lpstr>0.b Opći uvjeti</vt:lpstr>
      <vt:lpstr>0.b Opći uvjeti GO</vt:lpstr>
      <vt:lpstr>1 Pripremni radovi</vt:lpstr>
      <vt:lpstr>2 Rušenja i demontaže</vt:lpstr>
      <vt:lpstr>3 Zemljani</vt:lpstr>
      <vt:lpstr>4 AB radovi</vt:lpstr>
      <vt:lpstr>5 Armirački</vt:lpstr>
      <vt:lpstr>6 Čelične konstrukcije</vt:lpstr>
      <vt:lpstr>7 Zidarski</vt:lpstr>
      <vt:lpstr>8 Tesarski</vt:lpstr>
      <vt:lpstr>9 Bravarski</vt:lpstr>
      <vt:lpstr>10 Stolarski</vt:lpstr>
      <vt:lpstr>11 Izolaterski</vt:lpstr>
      <vt:lpstr>12 Krovopokrivački</vt:lpstr>
      <vt:lpstr>13 Fasaderski</vt:lpstr>
      <vt:lpstr>14 Suhomontažni</vt:lpstr>
      <vt:lpstr>15 Parketarski</vt:lpstr>
      <vt:lpstr>16 Podopolagački</vt:lpstr>
      <vt:lpstr>17 Kamenarski</vt:lpstr>
      <vt:lpstr>18 Keramičarski</vt:lpstr>
      <vt:lpstr>19 Soboslikarski</vt:lpstr>
      <vt:lpstr>20 Limarski</vt:lpstr>
      <vt:lpstr>21 Okoliš</vt:lpstr>
      <vt:lpstr>22 Razni</vt:lpstr>
      <vt:lpstr>23 Elektro</vt:lpstr>
      <vt:lpstr>24 Vatrodojava</vt:lpstr>
      <vt:lpstr>25 GHV</vt:lpstr>
      <vt:lpstr>26 VIK</vt:lpstr>
      <vt:lpstr>REKAPITULACIJA</vt:lpstr>
      <vt:lpstr>'0.b Opći uvjeti'!Print_Area</vt:lpstr>
      <vt:lpstr>'0.b Opći uvjeti GO'!Print_Area</vt:lpstr>
      <vt:lpstr>'1 Pripremni radovi'!Print_Area</vt:lpstr>
      <vt:lpstr>'10 Stolarski'!Print_Area</vt:lpstr>
      <vt:lpstr>'11 Izolaterski'!Print_Area</vt:lpstr>
      <vt:lpstr>'12 Krovopokrivački'!Print_Area</vt:lpstr>
      <vt:lpstr>'13 Fasaderski'!Print_Area</vt:lpstr>
      <vt:lpstr>'15 Parketarski'!Print_Area</vt:lpstr>
      <vt:lpstr>'17 Kamenarski'!Print_Area</vt:lpstr>
      <vt:lpstr>'18 Keramičarski'!Print_Area</vt:lpstr>
      <vt:lpstr>'19 Soboslikarski'!Print_Area</vt:lpstr>
      <vt:lpstr>'2 Rušenja i demontaže'!Print_Area</vt:lpstr>
      <vt:lpstr>'20 Limarski'!Print_Area</vt:lpstr>
      <vt:lpstr>'21 Okoliš'!Print_Area</vt:lpstr>
      <vt:lpstr>'22 Razni'!Print_Area</vt:lpstr>
      <vt:lpstr>'23 Elektro'!Print_Area</vt:lpstr>
      <vt:lpstr>'24 Vatrodojava'!Print_Area</vt:lpstr>
      <vt:lpstr>'3 Zemljani'!Print_Area</vt:lpstr>
      <vt:lpstr>'4 AB radovi'!Print_Area</vt:lpstr>
      <vt:lpstr>'5 Armirački'!Print_Area</vt:lpstr>
      <vt:lpstr>'6 Čelične konstrukcije'!Print_Area</vt:lpstr>
      <vt:lpstr>'7 Zidarski'!Print_Area</vt:lpstr>
      <vt:lpstr>'8 Tesarski'!Print_Area</vt:lpstr>
      <vt:lpstr>'9 Bravarski'!Print_Area</vt:lpstr>
      <vt:lpstr>naslovnica!Print_Area</vt:lpstr>
      <vt:lpstr>REKAPITULACIJA!Print_Area</vt:lpstr>
      <vt:lpstr>'1 Pripremni radovi'!Print_Titles</vt:lpstr>
      <vt:lpstr>'2 Rušenja i demontaže'!Print_Titles</vt:lpstr>
      <vt:lpstr>'24 Vatrodojava'!Print_Titles</vt:lpstr>
      <vt:lpstr>'3 Zemljani'!Print_Titles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2026-03-05T09:12:30Z</dcterms:modified>
</cp:coreProperties>
</file>